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  <sheet name="Sheet1" sheetId="2" r:id="rId2"/>
  </sheets>
  <definedNames>
    <definedName name="CPA">'A'!$I$3</definedName>
    <definedName name="LAM">'A'!$I$5</definedName>
    <definedName name="_xlnm.Print_Area">'A'!$C$11:$J$11</definedName>
    <definedName name="PSY">'A'!$I$6</definedName>
    <definedName name="QAIR">'A'!$I$2</definedName>
    <definedName name="RGAS">'A'!$S$2</definedName>
    <definedName name="TOK">'A'!$S$3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<sst xmlns="http://schemas.openxmlformats.org/spreadsheetml/2006/main" count="87" uniqueCount="51">
  <si>
    <t>Date</t>
  </si>
  <si>
    <t>Assman psychrometer calculator for EPIC2001</t>
  </si>
  <si>
    <t>Adapted for Stratus-4 December 2004</t>
  </si>
  <si>
    <t>Again for Stratus-5 October 2005</t>
  </si>
  <si>
    <t>Use Buck moist Tetens</t>
  </si>
  <si>
    <t xml:space="preserve">    Assman corrections ---&gt;</t>
  </si>
  <si>
    <t>CSIRO Assman left home</t>
  </si>
  <si>
    <t>Use ETL Assman</t>
  </si>
  <si>
    <t>Day</t>
  </si>
  <si>
    <t>GMT</t>
  </si>
  <si>
    <t>Press</t>
  </si>
  <si>
    <t xml:space="preserve">        As read</t>
  </si>
  <si>
    <t xml:space="preserve">     Assman</t>
  </si>
  <si>
    <t>Td</t>
  </si>
  <si>
    <t>Tw</t>
  </si>
  <si>
    <t>QAIR</t>
  </si>
  <si>
    <t>CPA</t>
  </si>
  <si>
    <t>LAM</t>
  </si>
  <si>
    <t>PSY</t>
  </si>
  <si>
    <t>&lt;- see comparisons RHS of Stratus-4 spreadsheet</t>
  </si>
  <si>
    <t>No correction needed below 20C</t>
  </si>
  <si>
    <t>e mb</t>
  </si>
  <si>
    <t>g/kg</t>
  </si>
  <si>
    <t>Kg/Kg</t>
  </si>
  <si>
    <t>J Kg-1K-1</t>
  </si>
  <si>
    <t>J Kg-1</t>
  </si>
  <si>
    <t>RH%</t>
  </si>
  <si>
    <t>Bridge hourly readings</t>
  </si>
  <si>
    <t>From deck log sheets</t>
  </si>
  <si>
    <t>time</t>
  </si>
  <si>
    <t>RGAS</t>
  </si>
  <si>
    <t>ToK</t>
  </si>
  <si>
    <t>f</t>
  </si>
  <si>
    <t>Dewpoint</t>
  </si>
  <si>
    <t>Rhoa</t>
  </si>
  <si>
    <t>Kgm-3</t>
  </si>
  <si>
    <t xml:space="preserve">Vaisala spot </t>
  </si>
  <si>
    <t>values below</t>
  </si>
  <si>
    <t>T</t>
  </si>
  <si>
    <t>RH</t>
  </si>
  <si>
    <t>Fwd. chock height 7.5m</t>
  </si>
  <si>
    <t>Vaisala height 15m</t>
  </si>
  <si>
    <t>Location</t>
  </si>
  <si>
    <t>port chock into wind</t>
  </si>
  <si>
    <t>Again for AMMA-6 May 2006</t>
  </si>
  <si>
    <t>stbd chock into wind, SOG=14knots</t>
  </si>
  <si>
    <t>? (made by Ieng)</t>
  </si>
  <si>
    <t>Local</t>
  </si>
  <si>
    <t>Assman</t>
  </si>
  <si>
    <t>Ship</t>
  </si>
  <si>
    <t>Vaisala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</si>
</sst>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0.0"/>
    <numFmt numFmtId="166" formatCode="0.000"/>
    <numFmt numFmtId="167" formatCode="mmm\-yyyy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3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2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RH comparisons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Assman Psychrometer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Sheet1!$C$2:$C$19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Sheet1!$A$2:$A$19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Ship’s IMET system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Sheet1!$C$2:$C$19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Sheet1!$B$2:$B$19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Sheet1!$C$2:$C$19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Sheet1!$C$2:$C$19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32157661"/>
        <c:axId val="20983494"/>
      </c:scatterChart>
      <c:valAx>
        <c:axId val="3215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ETL RH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83494"/>
        <c:crosses val="autoZero"/>
        <c:crossBetween val="midCat"/>
        <c:dispUnits/>
      </c:valAx>
      <c:valAx>
        <c:axId val="2098349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IMET and Assman RH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576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14</xdr:col>
      <xdr:colOff>142875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057525" y="200025"/>
        <a:ext cx="7753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="87" zoomScaleNormal="87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45" sqref="U45"/>
    </sheetView>
  </sheetViews>
  <sheetFormatPr defaultColWidth="8.88671875" defaultRowHeight="15"/>
  <cols>
    <col min="1" max="1" width="9.6640625" style="1" customWidth="1"/>
    <col min="2" max="2" width="2.6640625" style="1" customWidth="1"/>
    <col min="3" max="4" width="6.6640625" style="1" customWidth="1"/>
    <col min="5" max="5" width="7.6640625" style="1" customWidth="1"/>
    <col min="6" max="7" width="6.6640625" style="1" customWidth="1"/>
    <col min="8" max="9" width="7.6640625" style="1" customWidth="1"/>
    <col min="10" max="10" width="7.6640625" style="13" customWidth="1"/>
    <col min="11" max="14" width="6.6640625" style="1" customWidth="1"/>
    <col min="15" max="15" width="7.6640625" style="13" customWidth="1"/>
    <col min="16" max="16" width="9.99609375" style="1" customWidth="1"/>
    <col min="17" max="17" width="3.6640625" style="1" customWidth="1"/>
    <col min="18" max="19" width="7.6640625" style="1" customWidth="1"/>
    <col min="20" max="20" width="2.6640625" style="1" customWidth="1"/>
    <col min="21" max="21" width="7.6640625" style="1" customWidth="1"/>
    <col min="22" max="22" width="3.6640625" style="1" customWidth="1"/>
    <col min="23" max="23" width="7.6640625" style="1" customWidth="1"/>
    <col min="24" max="24" width="7.6640625" style="13" customWidth="1"/>
    <col min="25" max="25" width="3.6640625" style="1" customWidth="1"/>
    <col min="26" max="16384" width="9.6640625" style="1" customWidth="1"/>
  </cols>
  <sheetData>
    <row r="1" spans="3:26" ht="15">
      <c r="C1" s="2" t="s">
        <v>1</v>
      </c>
      <c r="D1" s="2"/>
      <c r="E1" s="2"/>
      <c r="F1" s="2"/>
      <c r="G1" s="2"/>
      <c r="H1" s="3"/>
      <c r="I1" s="2"/>
      <c r="J1" s="20"/>
      <c r="K1" s="4"/>
      <c r="L1" s="4"/>
      <c r="M1" s="4"/>
      <c r="N1" s="4"/>
      <c r="O1" s="20"/>
      <c r="P1" s="4"/>
      <c r="Q1" s="4"/>
      <c r="R1" s="4"/>
      <c r="S1" s="4"/>
      <c r="T1" s="4"/>
      <c r="U1" s="2"/>
      <c r="V1" s="2"/>
      <c r="W1" s="2"/>
      <c r="X1" s="22"/>
      <c r="Z1" s="2"/>
    </row>
    <row r="2" spans="3:24" ht="15">
      <c r="C2" s="2" t="s">
        <v>2</v>
      </c>
      <c r="D2" s="2"/>
      <c r="E2" s="2"/>
      <c r="F2" s="2"/>
      <c r="G2" s="2"/>
      <c r="H2" s="4" t="s">
        <v>15</v>
      </c>
      <c r="I2" s="2">
        <v>0.02</v>
      </c>
      <c r="J2" s="21" t="s">
        <v>23</v>
      </c>
      <c r="K2" s="2"/>
      <c r="L2" s="2"/>
      <c r="M2" s="2"/>
      <c r="N2" s="2"/>
      <c r="O2" s="21"/>
      <c r="P2" s="2"/>
      <c r="Q2" s="2"/>
      <c r="R2" s="1" t="s">
        <v>30</v>
      </c>
      <c r="S2" s="1">
        <v>287.1</v>
      </c>
      <c r="T2" s="2"/>
      <c r="W2" s="5"/>
      <c r="X2" s="22"/>
    </row>
    <row r="3" spans="3:24" ht="15">
      <c r="C3" s="2" t="s">
        <v>3</v>
      </c>
      <c r="D3" s="2"/>
      <c r="E3" s="2"/>
      <c r="F3" s="2"/>
      <c r="G3" s="2"/>
      <c r="H3" s="4" t="s">
        <v>16</v>
      </c>
      <c r="I3" s="2">
        <v>1004.67</v>
      </c>
      <c r="J3" s="21" t="s">
        <v>24</v>
      </c>
      <c r="K3" s="2"/>
      <c r="L3" s="2"/>
      <c r="M3" s="2"/>
      <c r="N3" s="2"/>
      <c r="O3" s="21"/>
      <c r="P3" s="2"/>
      <c r="Q3" s="2"/>
      <c r="R3" s="1" t="s">
        <v>31</v>
      </c>
      <c r="S3" s="1">
        <v>273.16</v>
      </c>
      <c r="T3" s="2"/>
      <c r="X3" s="22"/>
    </row>
    <row r="4" spans="3:24" ht="15">
      <c r="C4" s="2" t="s">
        <v>44</v>
      </c>
      <c r="D4" s="2"/>
      <c r="E4" s="2"/>
      <c r="F4" s="2"/>
      <c r="G4" s="2"/>
      <c r="H4" s="4"/>
      <c r="I4" s="2"/>
      <c r="J4" s="21"/>
      <c r="K4" s="2"/>
      <c r="L4" s="2"/>
      <c r="M4" s="2"/>
      <c r="N4" s="2"/>
      <c r="O4" s="21"/>
      <c r="P4" s="2"/>
      <c r="Q4" s="2"/>
      <c r="T4" s="2"/>
      <c r="X4" s="22"/>
    </row>
    <row r="5" spans="3:24" ht="15">
      <c r="C5" s="2" t="s">
        <v>4</v>
      </c>
      <c r="D5" s="2"/>
      <c r="E5" s="2"/>
      <c r="F5" s="2"/>
      <c r="G5" s="2"/>
      <c r="H5" s="4" t="s">
        <v>17</v>
      </c>
      <c r="I5" s="2">
        <f>2500800-2300*F12</f>
        <v>2436860</v>
      </c>
      <c r="J5" s="21" t="s">
        <v>25</v>
      </c>
      <c r="K5" s="2"/>
      <c r="L5" s="2"/>
      <c r="M5" s="2"/>
      <c r="N5" s="2"/>
      <c r="O5" s="21"/>
      <c r="P5" s="2"/>
      <c r="Q5" s="2"/>
      <c r="R5" s="2"/>
      <c r="S5" s="2"/>
      <c r="T5" s="2"/>
      <c r="X5" s="22"/>
    </row>
    <row r="6" spans="3:24" ht="15">
      <c r="C6" s="2"/>
      <c r="D6" s="2"/>
      <c r="E6" s="2"/>
      <c r="F6" s="2"/>
      <c r="G6" s="2"/>
      <c r="H6" s="4" t="s">
        <v>18</v>
      </c>
      <c r="I6" s="2">
        <f>(E12*CPA)/(0.622*LAM)</f>
        <v>0.6698564817995052</v>
      </c>
      <c r="J6" s="21"/>
      <c r="K6" s="5" t="s">
        <v>27</v>
      </c>
      <c r="L6" s="2"/>
      <c r="M6" s="2"/>
      <c r="N6" s="2"/>
      <c r="O6" s="21"/>
      <c r="P6" s="2"/>
      <c r="Q6" s="2"/>
      <c r="R6" s="2"/>
      <c r="S6" s="2"/>
      <c r="T6" s="2"/>
      <c r="X6" s="22"/>
    </row>
    <row r="7" spans="3:26" ht="15">
      <c r="C7" s="2" t="s">
        <v>5</v>
      </c>
      <c r="D7" s="2"/>
      <c r="E7" s="2"/>
      <c r="F7" s="2">
        <v>0</v>
      </c>
      <c r="G7" s="2">
        <v>0</v>
      </c>
      <c r="H7" s="6" t="s">
        <v>19</v>
      </c>
      <c r="I7" s="2"/>
      <c r="J7" s="21"/>
      <c r="K7" s="2"/>
      <c r="L7" s="2"/>
      <c r="M7" s="2"/>
      <c r="N7" s="2"/>
      <c r="O7" s="21"/>
      <c r="P7" s="2"/>
      <c r="Q7" s="2"/>
      <c r="R7" s="2"/>
      <c r="S7" s="2"/>
      <c r="T7" s="2"/>
      <c r="U7" s="2"/>
      <c r="V7" s="2"/>
      <c r="X7" s="22"/>
      <c r="Z7" s="2"/>
    </row>
    <row r="8" spans="3:26" ht="15">
      <c r="C8" s="5" t="s">
        <v>6</v>
      </c>
      <c r="D8" s="2"/>
      <c r="E8" s="2"/>
      <c r="F8" s="2"/>
      <c r="G8" s="2"/>
      <c r="H8" s="2" t="s">
        <v>20</v>
      </c>
      <c r="I8" s="2"/>
      <c r="J8" s="21"/>
      <c r="K8" s="2"/>
      <c r="L8" s="2"/>
      <c r="M8" s="2"/>
      <c r="N8" s="2"/>
      <c r="O8" s="21"/>
      <c r="P8" s="2"/>
      <c r="Q8" s="2"/>
      <c r="R8" s="2"/>
      <c r="S8" s="2"/>
      <c r="T8" s="2"/>
      <c r="U8" s="2"/>
      <c r="V8" s="2"/>
      <c r="W8" s="17" t="s">
        <v>36</v>
      </c>
      <c r="X8" s="18"/>
      <c r="Z8" s="2" t="s">
        <v>40</v>
      </c>
    </row>
    <row r="9" spans="3:26" ht="15">
      <c r="C9" s="1" t="s">
        <v>7</v>
      </c>
      <c r="D9" s="7"/>
      <c r="E9" s="2"/>
      <c r="F9" s="2" t="s">
        <v>11</v>
      </c>
      <c r="G9" s="2"/>
      <c r="H9" s="2"/>
      <c r="I9" s="2"/>
      <c r="J9" s="23"/>
      <c r="K9" s="17" t="s">
        <v>28</v>
      </c>
      <c r="L9" s="18"/>
      <c r="M9" s="18"/>
      <c r="O9" s="23"/>
      <c r="Q9" s="2"/>
      <c r="R9" s="2"/>
      <c r="S9" s="2"/>
      <c r="T9" s="2"/>
      <c r="W9" s="19" t="s">
        <v>37</v>
      </c>
      <c r="X9" s="18"/>
      <c r="Z9" s="1" t="s">
        <v>41</v>
      </c>
    </row>
    <row r="10" spans="3:27" ht="15">
      <c r="C10" s="5"/>
      <c r="F10" s="17" t="s">
        <v>12</v>
      </c>
      <c r="G10" s="18"/>
      <c r="J10" s="23"/>
      <c r="K10" s="17" t="s">
        <v>27</v>
      </c>
      <c r="L10" s="18"/>
      <c r="M10" s="18"/>
      <c r="O10" s="23"/>
      <c r="P10" s="1" t="s">
        <v>47</v>
      </c>
      <c r="T10" s="7"/>
      <c r="U10" s="7" t="s">
        <v>34</v>
      </c>
      <c r="V10" s="2"/>
      <c r="W10" s="2"/>
      <c r="AA10" s="7"/>
    </row>
    <row r="11" spans="1:28" ht="15">
      <c r="A11" s="8" t="s">
        <v>0</v>
      </c>
      <c r="C11" s="7" t="s">
        <v>8</v>
      </c>
      <c r="D11" s="7" t="s">
        <v>9</v>
      </c>
      <c r="E11" s="7" t="s">
        <v>10</v>
      </c>
      <c r="F11" s="7" t="s">
        <v>13</v>
      </c>
      <c r="G11" s="7" t="s">
        <v>14</v>
      </c>
      <c r="H11" s="7" t="s">
        <v>21</v>
      </c>
      <c r="I11" s="7" t="s">
        <v>22</v>
      </c>
      <c r="J11" s="14" t="s">
        <v>26</v>
      </c>
      <c r="K11" s="7" t="s">
        <v>13</v>
      </c>
      <c r="L11" s="7" t="s">
        <v>14</v>
      </c>
      <c r="M11" s="7" t="s">
        <v>21</v>
      </c>
      <c r="N11" s="7" t="s">
        <v>22</v>
      </c>
      <c r="O11" s="14" t="s">
        <v>26</v>
      </c>
      <c r="P11" s="7" t="s">
        <v>29</v>
      </c>
      <c r="Q11" s="7"/>
      <c r="R11" s="7" t="s">
        <v>32</v>
      </c>
      <c r="S11" s="7" t="s">
        <v>33</v>
      </c>
      <c r="T11" s="7"/>
      <c r="U11" s="7" t="s">
        <v>35</v>
      </c>
      <c r="V11" s="2"/>
      <c r="W11" s="7" t="s">
        <v>38</v>
      </c>
      <c r="X11" s="16" t="s">
        <v>39</v>
      </c>
      <c r="Z11" s="7" t="s">
        <v>42</v>
      </c>
      <c r="AA11" s="7"/>
      <c r="AB11" s="7"/>
    </row>
    <row r="12" spans="1:26" ht="15">
      <c r="A12" s="12">
        <v>38499</v>
      </c>
      <c r="C12" s="1">
        <v>147</v>
      </c>
      <c r="D12" s="1">
        <v>2305</v>
      </c>
      <c r="E12" s="1">
        <v>1010.6</v>
      </c>
      <c r="F12" s="1">
        <v>27.8</v>
      </c>
      <c r="G12" s="1">
        <v>25</v>
      </c>
      <c r="H12" s="6">
        <f aca="true" t="shared" si="0" ref="H12:H17">6.1121*(1.0007+0.00000346*E12)*EXP((17.502*(G12+$G$7))/(G12+$G$7+240.97))-PSY*(F12+$F$7-G12-$G$7)</f>
        <v>29.92765733613077</v>
      </c>
      <c r="I12" s="6">
        <f aca="true" t="shared" si="1" ref="I12:I17">0.622*H12/(E12-0.378*H12)*1000</f>
        <v>18.628278388992612</v>
      </c>
      <c r="J12" s="15">
        <f aca="true" t="shared" si="2" ref="J12:J17">100*H12/(6.1121*(1.0007+0.00000346*E12)*EXP((17.502*(F12+$F$7))/(F12+$F$7+240.97)))</f>
        <v>79.77340708343259</v>
      </c>
      <c r="K12" s="9">
        <v>28.6</v>
      </c>
      <c r="L12" s="9">
        <v>26</v>
      </c>
      <c r="M12" s="6">
        <f aca="true" t="shared" si="3" ref="M12:M17">6.1121*(1.0007+0.00000346*E12)*EXP((17.502*L12)/(L12+240.97))-PSY*(K12-L12)</f>
        <v>32.007833639908455</v>
      </c>
      <c r="N12" s="6">
        <f aca="true" t="shared" si="4" ref="N12:N17">0.622*M12/(E12-0.378*M12)*1000</f>
        <v>19.93875994988691</v>
      </c>
      <c r="O12" s="15">
        <f aca="true" t="shared" si="5" ref="O12:O17">100*M12/(6.1121*(1.0007+0.00000346*E12)*EXP((17.502*K12)/(K12+240.97)))</f>
        <v>81.43618888883537</v>
      </c>
      <c r="P12" s="10">
        <v>1905</v>
      </c>
      <c r="Q12" s="6"/>
      <c r="R12" s="6">
        <f aca="true" t="shared" si="6" ref="R12:R17">LN(H12/(6.112*(1.0007+0.00000346*E12)))</f>
        <v>1.5843411009926454</v>
      </c>
      <c r="S12" s="6">
        <f aca="true" t="shared" si="7" ref="S12:S17">241*R12/(17.502-R12)</f>
        <v>23.98758559671352</v>
      </c>
      <c r="U12" s="11">
        <f aca="true" t="shared" si="8" ref="U12:U17">100*E12/(RGAS*(F12+$F$7+TOK)*(1+0.00061*I12))</f>
        <v>1.1564587720026427</v>
      </c>
      <c r="W12" s="1">
        <v>28.3</v>
      </c>
      <c r="X12" s="13">
        <v>78.6</v>
      </c>
      <c r="Z12" s="5" t="s">
        <v>43</v>
      </c>
    </row>
    <row r="13" spans="1:26" ht="15">
      <c r="A13" s="12">
        <v>38500</v>
      </c>
      <c r="C13" s="1">
        <v>148</v>
      </c>
      <c r="D13" s="1">
        <v>1300</v>
      </c>
      <c r="E13" s="1">
        <v>1012</v>
      </c>
      <c r="F13" s="1">
        <v>28</v>
      </c>
      <c r="G13" s="1">
        <v>24</v>
      </c>
      <c r="H13" s="6">
        <f t="shared" si="0"/>
        <v>27.27656656634361</v>
      </c>
      <c r="I13" s="6">
        <f t="shared" si="1"/>
        <v>16.937409365259498</v>
      </c>
      <c r="J13" s="15">
        <f t="shared" si="2"/>
        <v>71.86305615537167</v>
      </c>
      <c r="K13" s="9">
        <v>29.5</v>
      </c>
      <c r="L13" s="9">
        <v>25.3</v>
      </c>
      <c r="M13" s="6">
        <f t="shared" si="3"/>
        <v>29.563303736225656</v>
      </c>
      <c r="N13" s="6">
        <f t="shared" si="4"/>
        <v>18.37321571302202</v>
      </c>
      <c r="O13" s="15">
        <f t="shared" si="5"/>
        <v>71.40074543156084</v>
      </c>
      <c r="P13" s="10">
        <v>900</v>
      </c>
      <c r="Q13" s="6"/>
      <c r="R13" s="6">
        <f t="shared" si="6"/>
        <v>1.4915811959251102</v>
      </c>
      <c r="S13" s="6">
        <f t="shared" si="7"/>
        <v>22.452321367537298</v>
      </c>
      <c r="U13" s="11">
        <f t="shared" si="8"/>
        <v>1.1584732245587843</v>
      </c>
      <c r="W13" s="1">
        <v>28</v>
      </c>
      <c r="X13" s="13">
        <v>71.4</v>
      </c>
      <c r="Z13" s="5" t="s">
        <v>43</v>
      </c>
    </row>
    <row r="14" spans="3:26" ht="15">
      <c r="C14" s="1">
        <v>148</v>
      </c>
      <c r="D14" s="1">
        <v>2200</v>
      </c>
      <c r="E14" s="1">
        <v>1011.1</v>
      </c>
      <c r="F14" s="1">
        <v>27.6</v>
      </c>
      <c r="G14" s="1">
        <v>24.3</v>
      </c>
      <c r="H14" s="6">
        <f t="shared" si="0"/>
        <v>28.28947991861383</v>
      </c>
      <c r="I14" s="6">
        <f t="shared" si="1"/>
        <v>17.588905272236946</v>
      </c>
      <c r="J14" s="15">
        <f t="shared" si="2"/>
        <v>76.29297036861847</v>
      </c>
      <c r="K14" s="9">
        <v>28.2</v>
      </c>
      <c r="L14" s="9">
        <v>24.9</v>
      </c>
      <c r="M14" s="6">
        <f t="shared" si="3"/>
        <v>29.403668640149398</v>
      </c>
      <c r="N14" s="6">
        <f t="shared" si="4"/>
        <v>18.289348676256143</v>
      </c>
      <c r="O14" s="15">
        <f t="shared" si="5"/>
        <v>76.57006815721306</v>
      </c>
      <c r="P14" s="10">
        <v>1800</v>
      </c>
      <c r="Q14" s="6"/>
      <c r="R14" s="6">
        <f t="shared" si="6"/>
        <v>1.5280463320660336</v>
      </c>
      <c r="S14" s="6">
        <f t="shared" si="7"/>
        <v>23.053726940948607</v>
      </c>
      <c r="U14" s="11">
        <f t="shared" si="8"/>
        <v>1.1585266146830286</v>
      </c>
      <c r="W14" s="1">
        <v>27.4</v>
      </c>
      <c r="X14" s="13">
        <v>75.8</v>
      </c>
      <c r="Z14" s="5" t="s">
        <v>45</v>
      </c>
    </row>
    <row r="15" spans="1:26" ht="15">
      <c r="A15" s="24">
        <v>38866</v>
      </c>
      <c r="C15" s="1">
        <v>149</v>
      </c>
      <c r="D15" s="1">
        <v>1500</v>
      </c>
      <c r="E15" s="1">
        <v>1011</v>
      </c>
      <c r="F15" s="1">
        <v>27.4</v>
      </c>
      <c r="G15" s="1">
        <v>24.2</v>
      </c>
      <c r="H15" s="6">
        <f t="shared" si="0"/>
        <v>28.1741340904234</v>
      </c>
      <c r="I15" s="6">
        <f t="shared" si="1"/>
        <v>17.51817693610085</v>
      </c>
      <c r="J15" s="15">
        <f t="shared" si="2"/>
        <v>76.87634762532281</v>
      </c>
      <c r="K15" s="9">
        <v>28.2</v>
      </c>
      <c r="L15" s="9">
        <v>25</v>
      </c>
      <c r="M15" s="6">
        <f t="shared" si="3"/>
        <v>29.65975857516888</v>
      </c>
      <c r="N15" s="6">
        <f t="shared" si="4"/>
        <v>18.452270435978733</v>
      </c>
      <c r="O15" s="15">
        <f t="shared" si="5"/>
        <v>77.23697834849021</v>
      </c>
      <c r="P15" s="10">
        <v>1100</v>
      </c>
      <c r="Q15" s="6"/>
      <c r="R15" s="6">
        <f t="shared" si="6"/>
        <v>1.523961001599669</v>
      </c>
      <c r="S15" s="6">
        <f t="shared" si="7"/>
        <v>22.986212602328145</v>
      </c>
      <c r="U15" s="11">
        <f t="shared" si="8"/>
        <v>1.1592323529972601</v>
      </c>
      <c r="W15" s="1">
        <v>26.5</v>
      </c>
      <c r="X15" s="13">
        <v>76.5</v>
      </c>
      <c r="Z15" s="5" t="s">
        <v>45</v>
      </c>
    </row>
    <row r="16" spans="3:26" ht="15">
      <c r="C16" s="1">
        <v>149</v>
      </c>
      <c r="D16" s="1">
        <v>2205</v>
      </c>
      <c r="E16" s="1">
        <v>1011.2</v>
      </c>
      <c r="F16" s="1">
        <v>26.8</v>
      </c>
      <c r="G16" s="1">
        <v>23.4</v>
      </c>
      <c r="H16" s="6">
        <f t="shared" si="0"/>
        <v>26.615589470968153</v>
      </c>
      <c r="I16" s="6">
        <f t="shared" si="1"/>
        <v>16.536057002470816</v>
      </c>
      <c r="J16" s="15">
        <f t="shared" si="2"/>
        <v>75.22650268085758</v>
      </c>
      <c r="K16" s="9">
        <v>27.2</v>
      </c>
      <c r="L16" s="9">
        <v>24.1</v>
      </c>
      <c r="M16" s="6">
        <f t="shared" si="3"/>
        <v>28.05977307289583</v>
      </c>
      <c r="N16" s="6">
        <f t="shared" si="4"/>
        <v>17.442828176308954</v>
      </c>
      <c r="O16" s="15">
        <f t="shared" si="5"/>
        <v>77.4668782749261</v>
      </c>
      <c r="P16" s="10">
        <v>1805</v>
      </c>
      <c r="Q16" s="6"/>
      <c r="R16" s="6">
        <f t="shared" si="6"/>
        <v>1.4670531007510608</v>
      </c>
      <c r="S16" s="6">
        <f t="shared" si="7"/>
        <v>22.04932760317193</v>
      </c>
      <c r="U16" s="11">
        <f t="shared" si="8"/>
        <v>1.1624699738963593</v>
      </c>
      <c r="W16" s="1">
        <v>27.1</v>
      </c>
      <c r="X16" s="13">
        <v>73.8</v>
      </c>
      <c r="Z16" s="5" t="s">
        <v>45</v>
      </c>
    </row>
    <row r="17" spans="1:26" ht="15">
      <c r="A17" s="24">
        <v>38867</v>
      </c>
      <c r="C17" s="1">
        <v>150</v>
      </c>
      <c r="D17" s="1">
        <v>2215</v>
      </c>
      <c r="E17" s="1">
        <v>1012.5</v>
      </c>
      <c r="F17" s="1">
        <v>26.4</v>
      </c>
      <c r="G17" s="1">
        <v>22.8</v>
      </c>
      <c r="H17" s="6">
        <f t="shared" si="0"/>
        <v>25.4520625321099</v>
      </c>
      <c r="I17" s="6">
        <f t="shared" si="1"/>
        <v>15.785733867152711</v>
      </c>
      <c r="J17" s="15">
        <f t="shared" si="2"/>
        <v>73.65279438077168</v>
      </c>
      <c r="K17" s="9">
        <v>28.5</v>
      </c>
      <c r="L17" s="9">
        <v>27</v>
      </c>
      <c r="M17" s="6">
        <f t="shared" si="3"/>
        <v>34.79434021828832</v>
      </c>
      <c r="N17" s="6">
        <f t="shared" si="4"/>
        <v>21.656205105165373</v>
      </c>
      <c r="O17" s="15">
        <f t="shared" si="5"/>
        <v>89.0406635324422</v>
      </c>
      <c r="P17" s="10">
        <v>1815</v>
      </c>
      <c r="Q17" s="6"/>
      <c r="R17" s="6">
        <f t="shared" si="6"/>
        <v>1.4223482893472768</v>
      </c>
      <c r="S17" s="6">
        <f t="shared" si="7"/>
        <v>21.317995184286175</v>
      </c>
      <c r="U17" s="11">
        <f t="shared" si="8"/>
        <v>1.1660470456358372</v>
      </c>
      <c r="W17" s="1">
        <v>26.4</v>
      </c>
      <c r="X17" s="13">
        <v>73.4</v>
      </c>
      <c r="Z17" s="5" t="s">
        <v>45</v>
      </c>
    </row>
    <row r="18" spans="1:26" ht="15">
      <c r="A18" s="24">
        <v>38868</v>
      </c>
      <c r="C18" s="1">
        <v>151</v>
      </c>
      <c r="D18" s="1">
        <v>1300</v>
      </c>
      <c r="E18" s="1">
        <v>1012.1</v>
      </c>
      <c r="F18" s="1">
        <v>25.8</v>
      </c>
      <c r="G18" s="1">
        <v>22.8</v>
      </c>
      <c r="H18" s="6">
        <f aca="true" t="shared" si="9" ref="H18:H23">6.1121*(1.0007+0.00000346*E18)*EXP((17.502*(G18+$G$7))/(G18+$G$7+240.97))-PSY*(F18+$F$7-G18-$G$7)</f>
        <v>25.853938019454212</v>
      </c>
      <c r="I18" s="6">
        <f aca="true" t="shared" si="10" ref="I18:I23">0.622*H18/(E18-0.378*H18)*1000</f>
        <v>16.04381210521022</v>
      </c>
      <c r="J18" s="15">
        <f aca="true" t="shared" si="11" ref="J18:J23">100*H18/(6.1121*(1.0007+0.00000346*E18)*EXP((17.502*(F18+$F$7))/(F18+$F$7+240.97)))</f>
        <v>77.51775814557051</v>
      </c>
      <c r="K18" s="9">
        <v>26</v>
      </c>
      <c r="L18" s="9">
        <v>23</v>
      </c>
      <c r="M18" s="6">
        <f aca="true" t="shared" si="12" ref="M18:M23">6.1121*(1.0007+0.00000346*E18)*EXP((17.502*L18)/(L18+240.97))-PSY*(K18-L18)</f>
        <v>26.193539615338874</v>
      </c>
      <c r="N18" s="6">
        <f aca="true" t="shared" si="13" ref="N18:N23">0.622*M18/(E18-0.378*M18)*1000</f>
        <v>16.25663586660563</v>
      </c>
      <c r="O18" s="15">
        <f aca="true" t="shared" si="14" ref="O18:O23">100*M18/(6.1121*(1.0007+0.00000346*E18)*EXP((17.502*K18)/(K18+240.97)))</f>
        <v>77.61132728462954</v>
      </c>
      <c r="P18" s="10">
        <v>900</v>
      </c>
      <c r="Q18" s="6"/>
      <c r="R18" s="6">
        <f aca="true" t="shared" si="15" ref="R18:R23">LN(H18/(6.112*(1.0007+0.00000346*E18)))</f>
        <v>1.4380158158532723</v>
      </c>
      <c r="S18" s="6">
        <f aca="true" t="shared" si="16" ref="S18:S23">241*R18/(17.502-R18)</f>
        <v>21.573839195051914</v>
      </c>
      <c r="U18" s="11">
        <f aca="true" t="shared" si="17" ref="U18:U23">100*E18/(RGAS*(F18+$F$7+TOK)*(1+0.00061*I18))</f>
        <v>1.1677435854611353</v>
      </c>
      <c r="W18" s="1">
        <v>25.9</v>
      </c>
      <c r="X18" s="13">
        <v>71</v>
      </c>
      <c r="Z18" s="5" t="s">
        <v>46</v>
      </c>
    </row>
    <row r="19" spans="3:26" ht="15">
      <c r="C19" s="1">
        <v>151</v>
      </c>
      <c r="D19" s="1">
        <v>2145</v>
      </c>
      <c r="E19" s="1">
        <v>1012</v>
      </c>
      <c r="F19" s="1">
        <v>25.8</v>
      </c>
      <c r="G19" s="1">
        <v>23</v>
      </c>
      <c r="H19" s="6">
        <f t="shared" si="9"/>
        <v>26.327501194254438</v>
      </c>
      <c r="I19" s="6">
        <f t="shared" si="10"/>
        <v>16.342233505825806</v>
      </c>
      <c r="J19" s="15">
        <f t="shared" si="11"/>
        <v>78.93766790177386</v>
      </c>
      <c r="K19" s="9">
        <v>26.2</v>
      </c>
      <c r="L19" s="9">
        <v>23.5</v>
      </c>
      <c r="M19" s="6">
        <f t="shared" si="12"/>
        <v>27.25937931463537</v>
      </c>
      <c r="N19" s="6">
        <f t="shared" si="13"/>
        <v>16.92662714221612</v>
      </c>
      <c r="O19" s="15">
        <f t="shared" si="14"/>
        <v>79.8198953198406</v>
      </c>
      <c r="P19" s="10">
        <v>1840</v>
      </c>
      <c r="Q19" s="6"/>
      <c r="R19" s="6">
        <f t="shared" si="15"/>
        <v>1.4561672955098546</v>
      </c>
      <c r="S19" s="6">
        <f t="shared" si="16"/>
        <v>21.8708698190323</v>
      </c>
      <c r="U19" s="11">
        <f t="shared" si="17"/>
        <v>1.1674177535426653</v>
      </c>
      <c r="W19" s="1">
        <v>25.9</v>
      </c>
      <c r="X19" s="13">
        <v>76.1</v>
      </c>
      <c r="Z19" s="5" t="s">
        <v>43</v>
      </c>
    </row>
    <row r="20" spans="1:26" ht="15">
      <c r="A20" s="24">
        <v>38869</v>
      </c>
      <c r="C20" s="1">
        <v>152</v>
      </c>
      <c r="D20" s="1">
        <v>900</v>
      </c>
      <c r="E20" s="1">
        <v>1013</v>
      </c>
      <c r="F20" s="1">
        <v>25.6</v>
      </c>
      <c r="G20" s="1">
        <v>22.6</v>
      </c>
      <c r="H20" s="6">
        <f t="shared" si="9"/>
        <v>25.518004925376957</v>
      </c>
      <c r="I20" s="6">
        <f t="shared" si="10"/>
        <v>15.819138601615437</v>
      </c>
      <c r="J20" s="15">
        <f t="shared" si="11"/>
        <v>77.42320928976568</v>
      </c>
      <c r="K20" s="9">
        <v>26</v>
      </c>
      <c r="L20" s="9">
        <v>23</v>
      </c>
      <c r="M20" s="6">
        <f t="shared" si="12"/>
        <v>26.1936270723379</v>
      </c>
      <c r="N20" s="6">
        <f t="shared" si="13"/>
        <v>16.242104858820294</v>
      </c>
      <c r="O20" s="15">
        <f t="shared" si="14"/>
        <v>77.61134574881598</v>
      </c>
      <c r="P20" s="10">
        <v>500</v>
      </c>
      <c r="Q20" s="6"/>
      <c r="R20" s="6">
        <f t="shared" si="15"/>
        <v>1.4249340628734533</v>
      </c>
      <c r="S20" s="6">
        <f t="shared" si="16"/>
        <v>21.36018540295169</v>
      </c>
      <c r="U20" s="11">
        <f t="shared" si="17"/>
        <v>1.1697231698180075</v>
      </c>
      <c r="W20" s="1">
        <v>25.3</v>
      </c>
      <c r="X20" s="13">
        <v>77.7</v>
      </c>
      <c r="Z20" s="5" t="s">
        <v>46</v>
      </c>
    </row>
    <row r="21" spans="3:26" ht="15">
      <c r="C21" s="1">
        <v>152</v>
      </c>
      <c r="D21" s="1">
        <v>2200</v>
      </c>
      <c r="E21" s="1">
        <v>1013</v>
      </c>
      <c r="F21" s="1">
        <v>25.2</v>
      </c>
      <c r="G21" s="1">
        <v>22.6</v>
      </c>
      <c r="H21" s="6">
        <f t="shared" si="9"/>
        <v>25.78594751809676</v>
      </c>
      <c r="I21" s="6">
        <f t="shared" si="10"/>
        <v>15.986855524665057</v>
      </c>
      <c r="J21" s="15">
        <f t="shared" si="11"/>
        <v>80.11860293355392</v>
      </c>
      <c r="K21" s="9">
        <v>25.9</v>
      </c>
      <c r="L21" s="9">
        <v>23.5</v>
      </c>
      <c r="M21" s="6">
        <f t="shared" si="12"/>
        <v>27.46043641362598</v>
      </c>
      <c r="N21" s="6">
        <f t="shared" si="13"/>
        <v>17.035758527933993</v>
      </c>
      <c r="O21" s="15">
        <f t="shared" si="14"/>
        <v>81.84795546070409</v>
      </c>
      <c r="P21" s="10">
        <v>1800</v>
      </c>
      <c r="Q21" s="6"/>
      <c r="R21" s="6">
        <f t="shared" si="15"/>
        <v>1.4353794580579888</v>
      </c>
      <c r="S21" s="6">
        <f t="shared" si="16"/>
        <v>21.530753682078455</v>
      </c>
      <c r="U21" s="11">
        <f t="shared" si="17"/>
        <v>1.1711726991836082</v>
      </c>
      <c r="W21" s="1">
        <v>25.1</v>
      </c>
      <c r="X21" s="13">
        <v>79.8</v>
      </c>
      <c r="Z21" s="5" t="s">
        <v>43</v>
      </c>
    </row>
    <row r="22" spans="1:26" ht="15">
      <c r="A22" s="24">
        <v>38870</v>
      </c>
      <c r="C22" s="1">
        <v>153</v>
      </c>
      <c r="D22" s="1">
        <v>825</v>
      </c>
      <c r="E22" s="1">
        <v>1012.8</v>
      </c>
      <c r="F22" s="1">
        <v>24.4</v>
      </c>
      <c r="G22" s="1">
        <v>22.4</v>
      </c>
      <c r="H22" s="6">
        <f t="shared" si="9"/>
        <v>25.855374250976144</v>
      </c>
      <c r="I22" s="6">
        <f t="shared" si="10"/>
        <v>16.033514649840996</v>
      </c>
      <c r="J22" s="15">
        <f t="shared" si="11"/>
        <v>84.26484554472142</v>
      </c>
      <c r="K22" s="1">
        <v>25</v>
      </c>
      <c r="L22" s="1">
        <v>23</v>
      </c>
      <c r="M22" s="6">
        <f t="shared" si="12"/>
        <v>26.863464119248736</v>
      </c>
      <c r="N22" s="6">
        <f t="shared" si="13"/>
        <v>16.664985620184975</v>
      </c>
      <c r="O22" s="15">
        <f t="shared" si="14"/>
        <v>84.46701471552186</v>
      </c>
      <c r="P22" s="10">
        <v>525</v>
      </c>
      <c r="Q22" s="6"/>
      <c r="R22" s="6">
        <f t="shared" si="15"/>
        <v>1.438068954198371</v>
      </c>
      <c r="S22" s="6">
        <f t="shared" si="16"/>
        <v>21.574707770697643</v>
      </c>
      <c r="U22" s="11">
        <f t="shared" si="17"/>
        <v>1.1740564925261752</v>
      </c>
      <c r="W22" s="1">
        <v>24.6</v>
      </c>
      <c r="X22" s="13">
        <v>78.9</v>
      </c>
      <c r="Z22" s="5" t="s">
        <v>46</v>
      </c>
    </row>
    <row r="23" spans="3:26" ht="15">
      <c r="C23" s="1">
        <v>153</v>
      </c>
      <c r="D23" s="1">
        <v>2150</v>
      </c>
      <c r="E23" s="1">
        <v>1013.5</v>
      </c>
      <c r="F23" s="1">
        <v>24.6</v>
      </c>
      <c r="G23" s="1">
        <v>22.2</v>
      </c>
      <c r="H23" s="6">
        <f t="shared" si="9"/>
        <v>25.258547509526014</v>
      </c>
      <c r="I23" s="6">
        <f t="shared" si="10"/>
        <v>15.648967620668156</v>
      </c>
      <c r="J23" s="15">
        <f t="shared" si="11"/>
        <v>81.34014677503964</v>
      </c>
      <c r="K23" s="1">
        <v>25</v>
      </c>
      <c r="L23" s="1">
        <v>23</v>
      </c>
      <c r="M23" s="6">
        <f t="shared" si="12"/>
        <v>26.863532141359084</v>
      </c>
      <c r="N23" s="6">
        <f t="shared" si="13"/>
        <v>16.65340162374256</v>
      </c>
      <c r="O23" s="15">
        <f t="shared" si="14"/>
        <v>84.46702487538619</v>
      </c>
      <c r="P23" s="10">
        <v>1850</v>
      </c>
      <c r="Q23" s="6"/>
      <c r="R23" s="6">
        <f t="shared" si="15"/>
        <v>1.4147126752705366</v>
      </c>
      <c r="S23" s="6">
        <f t="shared" si="16"/>
        <v>21.193489483842047</v>
      </c>
      <c r="U23" s="11">
        <f t="shared" si="17"/>
        <v>1.1743516117950241</v>
      </c>
      <c r="W23" s="1">
        <v>24.5</v>
      </c>
      <c r="X23" s="13">
        <v>78.2</v>
      </c>
      <c r="Z23" s="5" t="s">
        <v>43</v>
      </c>
    </row>
    <row r="24" spans="1:26" ht="15">
      <c r="A24" s="24">
        <v>38871</v>
      </c>
      <c r="C24" s="1">
        <v>154</v>
      </c>
      <c r="D24" s="1">
        <v>800</v>
      </c>
      <c r="E24" s="1">
        <v>1013.1</v>
      </c>
      <c r="F24" s="1">
        <v>23.8</v>
      </c>
      <c r="G24" s="1">
        <v>21.2</v>
      </c>
      <c r="H24" s="6">
        <f aca="true" t="shared" si="18" ref="H24:H29">6.1121*(1.0007+0.00000346*E24)*EXP((17.502*(G24+$G$7))/(G24+$G$7+240.97))-PSY*(F24+$F$7-G24-$G$7)</f>
        <v>23.53148303283379</v>
      </c>
      <c r="I24" s="6">
        <f aca="true" t="shared" si="19" ref="I24:I29">0.622*H24/(E24-0.378*H24)*1000</f>
        <v>14.575291895021973</v>
      </c>
      <c r="J24" s="15">
        <f aca="true" t="shared" si="20" ref="J24:J29">100*H24/(6.1121*(1.0007+0.00000346*E24)*EXP((17.502*(F24+$F$7))/(F24+$F$7+240.97)))</f>
        <v>79.50336124205047</v>
      </c>
      <c r="K24" s="9">
        <v>25</v>
      </c>
      <c r="L24" s="9">
        <v>22</v>
      </c>
      <c r="M24" s="6">
        <f aca="true" t="shared" si="21" ref="M24:M29">6.1121*(1.0007+0.00000346*E24)*EXP((17.502*L24)/(L24+240.97))-PSY*(K24-L24)</f>
        <v>24.53113494197595</v>
      </c>
      <c r="N24" s="6">
        <f aca="true" t="shared" si="22" ref="N24:N29">0.622*M24/(E24-0.378*M24)*1000</f>
        <v>15.200191290717893</v>
      </c>
      <c r="O24" s="15">
        <f aca="true" t="shared" si="23" ref="O24:O29">100*M24/(6.1121*(1.0007+0.00000346*E24)*EXP((17.502*K24)/(K24+240.97)))</f>
        <v>77.13337286400582</v>
      </c>
      <c r="P24" s="10">
        <v>500</v>
      </c>
      <c r="Q24" s="6"/>
      <c r="R24" s="6">
        <f aca="true" t="shared" si="24" ref="R24:R29">LN(H24/(6.112*(1.0007+0.00000346*E24)))</f>
        <v>1.3438886678799058</v>
      </c>
      <c r="S24" s="6">
        <f aca="true" t="shared" si="25" ref="S24:S29">241*R24/(17.502-R24)</f>
        <v>20.044246651230473</v>
      </c>
      <c r="U24" s="11">
        <f aca="true" t="shared" si="26" ref="U24:U29">100*E24/(RGAS*(F24+$F$7+TOK)*(1+0.00061*I24))</f>
        <v>1.1778146487651202</v>
      </c>
      <c r="W24" s="1">
        <v>23.9</v>
      </c>
      <c r="X24" s="13">
        <v>76.7</v>
      </c>
      <c r="Z24" s="5" t="s">
        <v>46</v>
      </c>
    </row>
    <row r="25" spans="3:26" ht="15">
      <c r="C25" s="1">
        <v>154</v>
      </c>
      <c r="D25" s="1">
        <v>2230</v>
      </c>
      <c r="E25" s="1">
        <v>1013.9</v>
      </c>
      <c r="F25" s="1">
        <v>23.4</v>
      </c>
      <c r="G25" s="1">
        <v>20.9</v>
      </c>
      <c r="H25" s="6">
        <f t="shared" si="18"/>
        <v>23.137042941660052</v>
      </c>
      <c r="I25" s="6">
        <f t="shared" si="19"/>
        <v>14.317445762718139</v>
      </c>
      <c r="J25" s="15">
        <f t="shared" si="20"/>
        <v>80.07734196995413</v>
      </c>
      <c r="K25" s="9">
        <v>24</v>
      </c>
      <c r="L25" s="9">
        <v>21.9</v>
      </c>
      <c r="M25" s="6">
        <f t="shared" si="21"/>
        <v>24.9726457092544</v>
      </c>
      <c r="N25" s="6">
        <f t="shared" si="22"/>
        <v>15.46401088604847</v>
      </c>
      <c r="O25" s="15">
        <f t="shared" si="23"/>
        <v>83.3638953288362</v>
      </c>
      <c r="P25" s="10">
        <v>1930</v>
      </c>
      <c r="Q25" s="6"/>
      <c r="R25" s="6">
        <f t="shared" si="24"/>
        <v>1.3269816070997882</v>
      </c>
      <c r="S25" s="6">
        <f t="shared" si="25"/>
        <v>19.771388170502586</v>
      </c>
      <c r="U25" s="11">
        <f t="shared" si="26"/>
        <v>1.1805186498707279</v>
      </c>
      <c r="W25" s="1">
        <v>23.6</v>
      </c>
      <c r="X25" s="13">
        <v>76.5</v>
      </c>
      <c r="Z25" s="5" t="s">
        <v>43</v>
      </c>
    </row>
    <row r="26" spans="1:26" ht="15">
      <c r="A26" s="24">
        <v>38872</v>
      </c>
      <c r="C26" s="1">
        <v>155</v>
      </c>
      <c r="D26" s="1">
        <v>800</v>
      </c>
      <c r="E26" s="1">
        <v>1013.1</v>
      </c>
      <c r="F26" s="1">
        <v>23.2</v>
      </c>
      <c r="G26" s="1">
        <v>21</v>
      </c>
      <c r="H26" s="6">
        <f t="shared" si="18"/>
        <v>23.490935936702737</v>
      </c>
      <c r="I26" s="6">
        <f t="shared" si="19"/>
        <v>14.549955140513527</v>
      </c>
      <c r="J26" s="15">
        <f t="shared" si="20"/>
        <v>82.29029164299908</v>
      </c>
      <c r="K26" s="9">
        <v>24</v>
      </c>
      <c r="L26" s="9">
        <v>21</v>
      </c>
      <c r="M26" s="6">
        <f t="shared" si="21"/>
        <v>22.955050751263133</v>
      </c>
      <c r="N26" s="6">
        <f t="shared" si="22"/>
        <v>14.215168009730414</v>
      </c>
      <c r="O26" s="15">
        <f t="shared" si="23"/>
        <v>76.62895414050044</v>
      </c>
      <c r="P26" s="10">
        <v>500</v>
      </c>
      <c r="Q26" s="6"/>
      <c r="R26" s="6">
        <f t="shared" si="24"/>
        <v>1.342164081732736</v>
      </c>
      <c r="S26" s="6">
        <f t="shared" si="25"/>
        <v>20.01638787259868</v>
      </c>
      <c r="U26" s="11">
        <f t="shared" si="26"/>
        <v>1.1802172907542243</v>
      </c>
      <c r="W26" s="1">
        <v>23.9</v>
      </c>
      <c r="X26" s="13">
        <v>76.1</v>
      </c>
      <c r="Z26" s="5" t="s">
        <v>46</v>
      </c>
    </row>
    <row r="27" spans="3:26" ht="15">
      <c r="C27" s="1">
        <v>155</v>
      </c>
      <c r="D27" s="1">
        <v>1945</v>
      </c>
      <c r="E27" s="1">
        <v>1011.9</v>
      </c>
      <c r="F27" s="1">
        <v>23</v>
      </c>
      <c r="G27" s="1">
        <v>20.6</v>
      </c>
      <c r="H27" s="6">
        <f t="shared" si="18"/>
        <v>22.749762677689837</v>
      </c>
      <c r="I27" s="6">
        <f t="shared" si="19"/>
        <v>14.103801523373708</v>
      </c>
      <c r="J27" s="15">
        <f t="shared" si="20"/>
        <v>80.66407964338492</v>
      </c>
      <c r="K27" s="9">
        <v>23.8</v>
      </c>
      <c r="L27" s="9">
        <v>21.5</v>
      </c>
      <c r="M27" s="6">
        <f t="shared" si="21"/>
        <v>24.201326933182774</v>
      </c>
      <c r="N27" s="6">
        <f t="shared" si="22"/>
        <v>15.011914089785984</v>
      </c>
      <c r="O27" s="15">
        <f t="shared" si="23"/>
        <v>81.76683086262213</v>
      </c>
      <c r="P27" s="10">
        <v>1645</v>
      </c>
      <c r="Q27" s="6"/>
      <c r="R27" s="6">
        <f t="shared" si="24"/>
        <v>1.3101082880208244</v>
      </c>
      <c r="S27" s="6">
        <f t="shared" si="25"/>
        <v>19.499642353674407</v>
      </c>
      <c r="U27" s="11">
        <f t="shared" si="26"/>
        <v>1.1799337106528032</v>
      </c>
      <c r="W27" s="1">
        <v>23.06</v>
      </c>
      <c r="X27" s="13">
        <v>78.1</v>
      </c>
      <c r="Z27" s="5" t="s">
        <v>43</v>
      </c>
    </row>
    <row r="28" spans="1:26" ht="15">
      <c r="A28" s="24">
        <v>38873</v>
      </c>
      <c r="C28" s="1">
        <v>156</v>
      </c>
      <c r="D28" s="1">
        <v>800</v>
      </c>
      <c r="E28" s="1">
        <v>1011.8</v>
      </c>
      <c r="F28" s="1">
        <v>23</v>
      </c>
      <c r="G28" s="1">
        <v>21</v>
      </c>
      <c r="H28" s="6">
        <f t="shared" si="18"/>
        <v>23.62479541244315</v>
      </c>
      <c r="I28" s="6">
        <f t="shared" si="19"/>
        <v>14.652572393769171</v>
      </c>
      <c r="J28" s="15">
        <f t="shared" si="20"/>
        <v>83.76672153952617</v>
      </c>
      <c r="K28" s="9">
        <v>24</v>
      </c>
      <c r="L28" s="9">
        <v>22</v>
      </c>
      <c r="M28" s="6">
        <f t="shared" si="21"/>
        <v>25.20087254361694</v>
      </c>
      <c r="N28" s="6">
        <f t="shared" si="22"/>
        <v>15.639377679737745</v>
      </c>
      <c r="O28" s="15">
        <f t="shared" si="23"/>
        <v>84.12637276198454</v>
      </c>
      <c r="P28" s="10">
        <v>500</v>
      </c>
      <c r="Q28" s="6"/>
      <c r="R28" s="6">
        <f t="shared" si="24"/>
        <v>1.3478507325322517</v>
      </c>
      <c r="S28" s="6">
        <f t="shared" si="25"/>
        <v>20.108271946851456</v>
      </c>
      <c r="U28" s="11">
        <f t="shared" si="26"/>
        <v>1.1794256596069959</v>
      </c>
      <c r="W28" s="1">
        <v>22.5</v>
      </c>
      <c r="X28" s="13">
        <v>81.8</v>
      </c>
      <c r="Z28" s="5" t="s">
        <v>46</v>
      </c>
    </row>
    <row r="29" spans="3:26" ht="15">
      <c r="C29" s="1">
        <v>156</v>
      </c>
      <c r="D29" s="1">
        <v>2030</v>
      </c>
      <c r="E29" s="1">
        <v>1010.6</v>
      </c>
      <c r="F29" s="1">
        <v>22.8</v>
      </c>
      <c r="G29" s="1">
        <v>21.2</v>
      </c>
      <c r="H29" s="6">
        <f t="shared" si="18"/>
        <v>24.201121817719272</v>
      </c>
      <c r="I29" s="6">
        <f t="shared" si="19"/>
        <v>15.031272724084504</v>
      </c>
      <c r="J29" s="15">
        <f t="shared" si="20"/>
        <v>86.85642655417136</v>
      </c>
      <c r="K29" s="9">
        <v>23.5</v>
      </c>
      <c r="L29" s="9">
        <v>22</v>
      </c>
      <c r="M29" s="6">
        <f t="shared" si="21"/>
        <v>25.535691048985754</v>
      </c>
      <c r="N29" s="6">
        <f t="shared" si="22"/>
        <v>15.868164607126127</v>
      </c>
      <c r="O29" s="15">
        <f t="shared" si="23"/>
        <v>87.84856686702369</v>
      </c>
      <c r="P29" s="10">
        <v>1730</v>
      </c>
      <c r="Q29" s="6"/>
      <c r="R29" s="6">
        <f t="shared" si="24"/>
        <v>1.3719570418127132</v>
      </c>
      <c r="S29" s="6">
        <f t="shared" si="25"/>
        <v>20.498497613054205</v>
      </c>
      <c r="U29" s="11">
        <f t="shared" si="26"/>
        <v>1.178553084001597</v>
      </c>
      <c r="W29" s="1">
        <v>22.7</v>
      </c>
      <c r="X29" s="13">
        <v>83.2</v>
      </c>
      <c r="Z29" s="5" t="s">
        <v>43</v>
      </c>
    </row>
    <row r="30" spans="1:26" s="30" customFormat="1" ht="15">
      <c r="A30" s="24">
        <v>38874</v>
      </c>
      <c r="C30" s="30">
        <v>157</v>
      </c>
      <c r="D30" s="30">
        <v>846</v>
      </c>
      <c r="E30" s="30">
        <v>1010.2</v>
      </c>
      <c r="F30" s="30">
        <v>22.8</v>
      </c>
      <c r="G30" s="30">
        <v>21.8</v>
      </c>
      <c r="H30" s="31">
        <f aca="true" t="shared" si="27" ref="H30:H37">6.1121*(1.0007+0.00000346*E30)*EXP((17.502*(G30+$G$7))/(G30+$G$7+240.97))-PSY*(F30+$F$7-G30-$G$7)</f>
        <v>25.54858053029506</v>
      </c>
      <c r="I30" s="31">
        <f aca="true" t="shared" si="28" ref="I30:I37">0.622*H30/(E30-0.378*H30)*1000</f>
        <v>15.882598611176466</v>
      </c>
      <c r="J30" s="32">
        <f aca="true" t="shared" si="29" ref="J30:J37">100*H30/(6.1121*(1.0007+0.00000346*E30)*EXP((17.502*(F30+$F$7))/(F30+$F$7+240.97)))</f>
        <v>91.69250431665371</v>
      </c>
      <c r="K30" s="33">
        <v>23</v>
      </c>
      <c r="L30" s="33">
        <v>22</v>
      </c>
      <c r="M30" s="31">
        <f aca="true" t="shared" si="30" ref="M30:M37">6.1121*(1.0007+0.00000346*E30)*EXP((17.502*L30)/(L30+240.97))-PSY*(K30-L30)</f>
        <v>25.8705827113752</v>
      </c>
      <c r="N30" s="31">
        <f aca="true" t="shared" si="31" ref="N30:N37">0.622*M30/(E30-0.378*M30)*1000</f>
        <v>16.084732065315283</v>
      </c>
      <c r="O30" s="32">
        <f aca="true" t="shared" si="32" ref="O30:O37">100*M30/(6.1121*(1.0007+0.00000346*E30)*EXP((17.502*K30)/(K30+240.97)))</f>
        <v>91.73014229865768</v>
      </c>
      <c r="P30" s="34">
        <v>546</v>
      </c>
      <c r="Q30" s="31"/>
      <c r="R30" s="31">
        <f aca="true" t="shared" si="33" ref="R30:R37">LN(H30/(6.112*(1.0007+0.00000346*E30)))</f>
        <v>1.4261411903995715</v>
      </c>
      <c r="S30" s="31">
        <f aca="true" t="shared" si="34" ref="S30:S37">241*R30/(17.502-R30)</f>
        <v>21.379885887094304</v>
      </c>
      <c r="U30" s="35">
        <f aca="true" t="shared" si="35" ref="U30:U37">100*E30/(RGAS*(F30+$F$7+TOK)*(1+0.00061*I30))</f>
        <v>1.1774806870774712</v>
      </c>
      <c r="W30" s="30">
        <v>22.8</v>
      </c>
      <c r="X30" s="36">
        <v>84.3</v>
      </c>
      <c r="Z30" s="30" t="s">
        <v>46</v>
      </c>
    </row>
    <row r="31" spans="3:26" ht="15">
      <c r="C31" s="1">
        <v>157</v>
      </c>
      <c r="D31" s="1">
        <v>2035</v>
      </c>
      <c r="E31" s="1">
        <v>1010</v>
      </c>
      <c r="F31" s="1">
        <v>23.8</v>
      </c>
      <c r="G31" s="1">
        <v>22.2</v>
      </c>
      <c r="H31" s="37">
        <f t="shared" si="27"/>
        <v>25.794108708165005</v>
      </c>
      <c r="I31" s="37">
        <f t="shared" si="28"/>
        <v>16.039928410754204</v>
      </c>
      <c r="J31" s="38">
        <f t="shared" si="29"/>
        <v>87.14878887176098</v>
      </c>
      <c r="K31" s="39">
        <v>24.5</v>
      </c>
      <c r="L31" s="39">
        <v>23</v>
      </c>
      <c r="M31" s="37">
        <f t="shared" si="30"/>
        <v>27.198120271707076</v>
      </c>
      <c r="N31" s="37">
        <f t="shared" si="31"/>
        <v>16.921984015999964</v>
      </c>
      <c r="O31" s="38">
        <f t="shared" si="32"/>
        <v>88.11274156555193</v>
      </c>
      <c r="P31" s="40">
        <v>1735</v>
      </c>
      <c r="Q31" s="37"/>
      <c r="R31" s="37">
        <f t="shared" si="33"/>
        <v>1.4357062421548252</v>
      </c>
      <c r="S31" s="37">
        <f t="shared" si="34"/>
        <v>21.536093487046973</v>
      </c>
      <c r="U31" s="41">
        <f t="shared" si="35"/>
        <v>1.173171727985176</v>
      </c>
      <c r="W31" s="1">
        <v>23.8</v>
      </c>
      <c r="X31" s="13">
        <v>85.5</v>
      </c>
      <c r="Z31" s="5" t="s">
        <v>43</v>
      </c>
    </row>
    <row r="32" spans="1:26" ht="15">
      <c r="A32" s="24">
        <v>38875</v>
      </c>
      <c r="C32" s="1">
        <v>158</v>
      </c>
      <c r="D32" s="1">
        <v>730</v>
      </c>
      <c r="E32" s="1">
        <v>1009.5</v>
      </c>
      <c r="F32" s="1">
        <v>23.8</v>
      </c>
      <c r="G32" s="1">
        <v>21.4</v>
      </c>
      <c r="H32" s="37">
        <f t="shared" si="27"/>
        <v>23.976959647618987</v>
      </c>
      <c r="I32" s="37">
        <f t="shared" si="28"/>
        <v>14.907158806629234</v>
      </c>
      <c r="J32" s="38">
        <f t="shared" si="29"/>
        <v>81.00945132893516</v>
      </c>
      <c r="K32" s="9">
        <v>24</v>
      </c>
      <c r="L32" s="9">
        <v>22</v>
      </c>
      <c r="M32" s="37">
        <f t="shared" si="30"/>
        <v>25.200662217182654</v>
      </c>
      <c r="N32" s="37">
        <f t="shared" si="31"/>
        <v>15.67521710843607</v>
      </c>
      <c r="O32" s="38">
        <f t="shared" si="32"/>
        <v>84.12633732023541</v>
      </c>
      <c r="P32" s="10">
        <v>430</v>
      </c>
      <c r="Q32" s="6"/>
      <c r="R32" s="37">
        <f t="shared" si="33"/>
        <v>1.362655198277936</v>
      </c>
      <c r="S32" s="37">
        <f t="shared" si="34"/>
        <v>20.3477840531632</v>
      </c>
      <c r="U32" s="41">
        <f t="shared" si="35"/>
        <v>1.17339389640046</v>
      </c>
      <c r="W32" s="1">
        <v>23.8</v>
      </c>
      <c r="X32" s="13">
        <v>80.7</v>
      </c>
      <c r="Z32" s="5" t="s">
        <v>46</v>
      </c>
    </row>
    <row r="33" spans="3:26" ht="15">
      <c r="C33" s="1">
        <v>158</v>
      </c>
      <c r="D33" s="1">
        <v>2100</v>
      </c>
      <c r="E33" s="1">
        <v>1009</v>
      </c>
      <c r="F33" s="1">
        <v>25.6</v>
      </c>
      <c r="G33" s="1">
        <v>23</v>
      </c>
      <c r="H33" s="37">
        <f t="shared" si="27"/>
        <v>26.461180967284257</v>
      </c>
      <c r="I33" s="37">
        <f t="shared" si="28"/>
        <v>16.475368258298634</v>
      </c>
      <c r="J33" s="38">
        <f t="shared" si="29"/>
        <v>80.28597039132202</v>
      </c>
      <c r="K33" s="9">
        <v>25.5</v>
      </c>
      <c r="L33" s="9">
        <v>23</v>
      </c>
      <c r="M33" s="37">
        <f t="shared" si="30"/>
        <v>26.528166615464208</v>
      </c>
      <c r="N33" s="37">
        <f t="shared" si="31"/>
        <v>16.51749378743723</v>
      </c>
      <c r="O33" s="38">
        <f t="shared" si="32"/>
        <v>80.968524186867</v>
      </c>
      <c r="P33" s="10">
        <v>1800</v>
      </c>
      <c r="Q33" s="6"/>
      <c r="R33" s="37">
        <f t="shared" si="33"/>
        <v>1.461242356363192</v>
      </c>
      <c r="S33" s="37">
        <f t="shared" si="34"/>
        <v>21.95403831334782</v>
      </c>
      <c r="U33" s="41">
        <f t="shared" si="35"/>
        <v>1.1646425713762685</v>
      </c>
      <c r="W33" s="1">
        <v>25.2</v>
      </c>
      <c r="X33" s="13">
        <v>75.9</v>
      </c>
      <c r="Z33" s="5" t="s">
        <v>43</v>
      </c>
    </row>
    <row r="34" spans="1:26" ht="15">
      <c r="A34" s="24">
        <v>38876</v>
      </c>
      <c r="C34" s="1">
        <v>159</v>
      </c>
      <c r="D34" s="1">
        <v>711</v>
      </c>
      <c r="E34" s="1">
        <v>1008</v>
      </c>
      <c r="F34" s="1">
        <v>24.8</v>
      </c>
      <c r="G34" s="1">
        <v>21</v>
      </c>
      <c r="H34" s="37">
        <f t="shared" si="27"/>
        <v>22.4187268849317</v>
      </c>
      <c r="I34" s="37">
        <f t="shared" si="28"/>
        <v>13.951064816184152</v>
      </c>
      <c r="J34" s="38">
        <f t="shared" si="29"/>
        <v>71.33876787566662</v>
      </c>
      <c r="K34" s="9">
        <v>26</v>
      </c>
      <c r="L34" s="9">
        <v>23</v>
      </c>
      <c r="M34" s="37">
        <f t="shared" si="30"/>
        <v>26.1931412001211</v>
      </c>
      <c r="N34" s="37">
        <f t="shared" si="31"/>
        <v>16.323164282136897</v>
      </c>
      <c r="O34" s="38">
        <f t="shared" si="32"/>
        <v>77.61124316855324</v>
      </c>
      <c r="P34" s="10">
        <v>411</v>
      </c>
      <c r="Q34" s="6"/>
      <c r="R34" s="37">
        <f t="shared" si="33"/>
        <v>1.295463643303271</v>
      </c>
      <c r="S34" s="37">
        <f t="shared" si="34"/>
        <v>19.26424815053593</v>
      </c>
      <c r="U34" s="41">
        <f t="shared" si="35"/>
        <v>1.1683934152636961</v>
      </c>
      <c r="W34" s="1">
        <v>25</v>
      </c>
      <c r="X34" s="13">
        <v>75</v>
      </c>
      <c r="Z34" s="5" t="s">
        <v>46</v>
      </c>
    </row>
    <row r="35" spans="3:26" ht="15">
      <c r="C35" s="1">
        <v>159</v>
      </c>
      <c r="D35" s="1">
        <v>2030</v>
      </c>
      <c r="E35" s="1">
        <v>1008.7</v>
      </c>
      <c r="F35" s="1">
        <v>26.2</v>
      </c>
      <c r="G35" s="1">
        <v>23.2</v>
      </c>
      <c r="H35" s="37">
        <f t="shared" si="27"/>
        <v>26.5364222376051</v>
      </c>
      <c r="I35" s="37">
        <f t="shared" si="28"/>
        <v>16.527649091802015</v>
      </c>
      <c r="J35" s="38">
        <f t="shared" si="29"/>
        <v>77.70384294760571</v>
      </c>
      <c r="K35" s="9">
        <v>27</v>
      </c>
      <c r="L35" s="9">
        <v>24.5</v>
      </c>
      <c r="M35" s="37">
        <f t="shared" si="30"/>
        <v>29.19262947886762</v>
      </c>
      <c r="N35" s="37">
        <f t="shared" si="31"/>
        <v>18.200309873114545</v>
      </c>
      <c r="O35" s="38">
        <f t="shared" si="32"/>
        <v>81.5467186701596</v>
      </c>
      <c r="P35" s="10">
        <v>1730</v>
      </c>
      <c r="Q35" s="6"/>
      <c r="R35" s="37">
        <f t="shared" si="33"/>
        <v>1.4640828135647137</v>
      </c>
      <c r="S35" s="37">
        <f t="shared" si="34"/>
        <v>22.000609802844473</v>
      </c>
      <c r="U35" s="41">
        <f t="shared" si="35"/>
        <v>1.1619260375748783</v>
      </c>
      <c r="W35" s="1">
        <v>26.4</v>
      </c>
      <c r="X35" s="13">
        <v>78.5</v>
      </c>
      <c r="Z35" s="5" t="s">
        <v>43</v>
      </c>
    </row>
    <row r="36" spans="1:26" ht="15">
      <c r="A36" s="24">
        <v>38877</v>
      </c>
      <c r="C36" s="1">
        <v>160</v>
      </c>
      <c r="D36" s="1">
        <v>735</v>
      </c>
      <c r="E36" s="1">
        <v>1007.4</v>
      </c>
      <c r="F36" s="1">
        <v>26</v>
      </c>
      <c r="G36" s="1">
        <v>23</v>
      </c>
      <c r="H36" s="37">
        <f t="shared" si="27"/>
        <v>26.193082895455085</v>
      </c>
      <c r="I36" s="37">
        <f t="shared" si="28"/>
        <v>16.332946019436562</v>
      </c>
      <c r="J36" s="38">
        <f t="shared" si="29"/>
        <v>77.61123085868421</v>
      </c>
      <c r="K36" s="9">
        <v>26</v>
      </c>
      <c r="L36" s="9">
        <v>25</v>
      </c>
      <c r="M36" s="37">
        <f t="shared" si="30"/>
        <v>31.133048349306645</v>
      </c>
      <c r="N36" s="37">
        <f t="shared" si="31"/>
        <v>19.449718126732854</v>
      </c>
      <c r="O36" s="38">
        <f t="shared" si="32"/>
        <v>92.24856090505777</v>
      </c>
      <c r="P36" s="10">
        <v>435</v>
      </c>
      <c r="Q36" s="6"/>
      <c r="R36" s="37">
        <f t="shared" si="33"/>
        <v>1.4510644436957498</v>
      </c>
      <c r="S36" s="37">
        <f t="shared" si="34"/>
        <v>21.787298921234726</v>
      </c>
      <c r="U36" s="41">
        <f t="shared" si="35"/>
        <v>1.1613409074508978</v>
      </c>
      <c r="W36" s="1">
        <v>26</v>
      </c>
      <c r="X36" s="13">
        <v>83.7</v>
      </c>
      <c r="Z36" s="5" t="s">
        <v>46</v>
      </c>
    </row>
    <row r="37" spans="3:26" ht="15">
      <c r="C37" s="1">
        <v>160</v>
      </c>
      <c r="D37" s="1">
        <v>2100</v>
      </c>
      <c r="E37" s="1">
        <v>1008.4</v>
      </c>
      <c r="F37" s="1">
        <v>27.2</v>
      </c>
      <c r="G37" s="1">
        <v>24</v>
      </c>
      <c r="H37" s="37">
        <f t="shared" si="27"/>
        <v>27.812080181102367</v>
      </c>
      <c r="I37" s="37">
        <f t="shared" si="28"/>
        <v>17.33574371504761</v>
      </c>
      <c r="J37" s="38">
        <f t="shared" si="29"/>
        <v>76.78379330556241</v>
      </c>
      <c r="K37" s="9">
        <v>27.9</v>
      </c>
      <c r="L37" s="9">
        <v>25</v>
      </c>
      <c r="M37" s="37">
        <f t="shared" si="30"/>
        <v>29.860430613282347</v>
      </c>
      <c r="N37" s="37">
        <f t="shared" si="31"/>
        <v>18.626968421397233</v>
      </c>
      <c r="O37" s="38">
        <f t="shared" si="32"/>
        <v>79.13163929252009</v>
      </c>
      <c r="P37" s="10">
        <v>1800</v>
      </c>
      <c r="R37" s="37">
        <f t="shared" si="33"/>
        <v>1.5110360990380005</v>
      </c>
      <c r="S37" s="37">
        <f t="shared" si="34"/>
        <v>22.772842345435514</v>
      </c>
      <c r="U37" s="41">
        <f t="shared" si="35"/>
        <v>1.1571484632928675</v>
      </c>
      <c r="W37" s="1">
        <v>27.3</v>
      </c>
      <c r="X37" s="13">
        <v>75.9</v>
      </c>
      <c r="Z37" s="5" t="s">
        <v>43</v>
      </c>
    </row>
    <row r="38" spans="1:26" ht="15">
      <c r="A38" s="24">
        <v>38878</v>
      </c>
      <c r="C38" s="1">
        <v>161</v>
      </c>
      <c r="D38" s="1">
        <v>720</v>
      </c>
      <c r="E38" s="1">
        <v>1007.1</v>
      </c>
      <c r="F38" s="1">
        <v>25.4</v>
      </c>
      <c r="G38" s="1">
        <v>23</v>
      </c>
      <c r="H38" s="37">
        <f aca="true" t="shared" si="36" ref="H38:H43">6.1121*(1.0007+0.00000346*E38)*EXP((17.502*(G38+$G$7))/(G38+$G$7+240.97))-PSY*(F38+$F$7-G38-$G$7)</f>
        <v>26.59496763220178</v>
      </c>
      <c r="I38" s="37">
        <f aca="true" t="shared" si="37" ref="I38:I43">0.622*H38/(E38-0.378*H38)*1000</f>
        <v>16.59106157587543</v>
      </c>
      <c r="J38" s="38">
        <f aca="true" t="shared" si="38" ref="J38:J43">100*H38/(6.1121*(1.0007+0.00000346*E38)*EXP((17.502*(F38+$F$7))/(F38+$F$7+240.97)))</f>
        <v>81.65669179725542</v>
      </c>
      <c r="K38" s="9">
        <v>25</v>
      </c>
      <c r="L38" s="9">
        <v>24</v>
      </c>
      <c r="M38" s="37">
        <f aca="true" t="shared" si="39" ref="M38:M43">6.1121*(1.0007+0.00000346*E38)*EXP((17.502*L38)/(L38+240.97))-PSY*(K38-L38)</f>
        <v>29.28563026275986</v>
      </c>
      <c r="N38" s="37">
        <f aca="true" t="shared" si="40" ref="N38:N43">0.622*M38/(E38-0.378*M38)*1000</f>
        <v>18.28826585804537</v>
      </c>
      <c r="O38" s="38">
        <f aca="true" t="shared" si="41" ref="O38:O43">100*M38/(6.1121*(1.0007+0.00000346*E38)*EXP((17.502*K38)/(K38+240.97)))</f>
        <v>92.08486045565759</v>
      </c>
      <c r="P38" s="10">
        <v>420</v>
      </c>
      <c r="R38" s="37">
        <f aca="true" t="shared" si="42" ref="R38:R43">LN(H38/(6.112*(1.0007+0.00000346*E38)))</f>
        <v>1.4662921242139904</v>
      </c>
      <c r="S38" s="37">
        <f aca="true" t="shared" si="43" ref="S38:S44">241*R38/(17.502-R38)</f>
        <v>22.036844564197356</v>
      </c>
      <c r="U38" s="41">
        <f aca="true" t="shared" si="44" ref="U38:U43">100*E38/(RGAS*(F38+$F$7+TOK)*(1+0.00061*I38))</f>
        <v>1.1631469224256727</v>
      </c>
      <c r="W38" s="1">
        <v>25.7</v>
      </c>
      <c r="X38" s="13">
        <v>81.5</v>
      </c>
      <c r="Z38" s="5" t="s">
        <v>46</v>
      </c>
    </row>
    <row r="39" spans="3:26" ht="15">
      <c r="C39" s="1">
        <v>161</v>
      </c>
      <c r="D39" s="1">
        <v>2040</v>
      </c>
      <c r="E39" s="1">
        <v>1006.5</v>
      </c>
      <c r="F39" s="1">
        <v>26.6</v>
      </c>
      <c r="G39" s="1">
        <v>24.2</v>
      </c>
      <c r="H39" s="37">
        <f t="shared" si="36"/>
        <v>28.709549203059698</v>
      </c>
      <c r="I39" s="37">
        <f t="shared" si="37"/>
        <v>17.935398216578847</v>
      </c>
      <c r="J39" s="38">
        <f t="shared" si="38"/>
        <v>82.10716728419574</v>
      </c>
      <c r="K39" s="9">
        <v>27.2</v>
      </c>
      <c r="L39" s="9">
        <v>25</v>
      </c>
      <c r="M39" s="37">
        <f t="shared" si="39"/>
        <v>30.32912194969195</v>
      </c>
      <c r="N39" s="37">
        <f t="shared" si="40"/>
        <v>18.958833237944205</v>
      </c>
      <c r="O39" s="38">
        <f t="shared" si="41"/>
        <v>83.73340869967166</v>
      </c>
      <c r="P39" s="10">
        <v>1740</v>
      </c>
      <c r="R39" s="37">
        <f t="shared" si="42"/>
        <v>1.5428019727051445</v>
      </c>
      <c r="S39" s="37">
        <f t="shared" si="43"/>
        <v>23.297867147586484</v>
      </c>
      <c r="U39" s="41">
        <f t="shared" si="44"/>
        <v>1.1568612419666648</v>
      </c>
      <c r="W39" s="1">
        <v>26.9</v>
      </c>
      <c r="X39" s="13">
        <v>81.45</v>
      </c>
      <c r="Z39" s="5" t="s">
        <v>43</v>
      </c>
    </row>
    <row r="40" spans="1:26" ht="15">
      <c r="A40" s="24">
        <v>38879</v>
      </c>
      <c r="C40" s="1">
        <v>162</v>
      </c>
      <c r="D40" s="1">
        <v>2205</v>
      </c>
      <c r="E40" s="1">
        <v>1008</v>
      </c>
      <c r="F40" s="1">
        <v>27.4</v>
      </c>
      <c r="G40" s="1">
        <v>24.4</v>
      </c>
      <c r="H40" s="37">
        <f t="shared" si="36"/>
        <v>28.673387932108376</v>
      </c>
      <c r="I40" s="37">
        <f t="shared" si="37"/>
        <v>17.88561634260159</v>
      </c>
      <c r="J40" s="38">
        <f t="shared" si="38"/>
        <v>78.2394275707572</v>
      </c>
      <c r="K40" s="9">
        <v>28.5</v>
      </c>
      <c r="L40" s="9">
        <v>25.5</v>
      </c>
      <c r="M40" s="37">
        <f t="shared" si="39"/>
        <v>30.753872246921528</v>
      </c>
      <c r="N40" s="37">
        <f t="shared" si="40"/>
        <v>19.19850241210267</v>
      </c>
      <c r="O40" s="38">
        <f t="shared" si="41"/>
        <v>78.70210017236234</v>
      </c>
      <c r="P40" s="10">
        <v>1905</v>
      </c>
      <c r="R40" s="37">
        <f t="shared" si="42"/>
        <v>1.541536454916257</v>
      </c>
      <c r="S40" s="37">
        <f t="shared" si="43"/>
        <v>23.27691076048059</v>
      </c>
      <c r="U40" s="41">
        <f t="shared" si="44"/>
        <v>1.1555362331885775</v>
      </c>
      <c r="W40" s="1">
        <v>27.6</v>
      </c>
      <c r="X40" s="13">
        <v>77.5</v>
      </c>
      <c r="Z40" s="5" t="s">
        <v>43</v>
      </c>
    </row>
    <row r="41" spans="1:26" ht="15">
      <c r="A41" s="24">
        <v>38880</v>
      </c>
      <c r="C41" s="1">
        <v>163</v>
      </c>
      <c r="D41" s="1">
        <v>2135</v>
      </c>
      <c r="E41" s="1">
        <v>1009.2</v>
      </c>
      <c r="F41" s="1">
        <v>26.7</v>
      </c>
      <c r="G41" s="1">
        <v>24.2</v>
      </c>
      <c r="H41" s="37">
        <f t="shared" si="36"/>
        <v>28.64284559856173</v>
      </c>
      <c r="I41" s="37">
        <f t="shared" si="37"/>
        <v>17.844883509905515</v>
      </c>
      <c r="J41" s="38">
        <f t="shared" si="38"/>
        <v>81.43468527562956</v>
      </c>
      <c r="K41" s="9">
        <v>27.5</v>
      </c>
      <c r="L41" s="9">
        <v>25</v>
      </c>
      <c r="M41" s="37">
        <f t="shared" si="39"/>
        <v>30.12846086951796</v>
      </c>
      <c r="N41" s="37">
        <f t="shared" si="40"/>
        <v>18.781005985657306</v>
      </c>
      <c r="O41" s="38">
        <f t="shared" si="41"/>
        <v>81.72964837034304</v>
      </c>
      <c r="P41" s="10">
        <v>1835</v>
      </c>
      <c r="R41" s="37">
        <f t="shared" si="42"/>
        <v>1.5404665720367703</v>
      </c>
      <c r="S41" s="37">
        <f t="shared" si="43"/>
        <v>23.25919658887281</v>
      </c>
      <c r="U41" s="41">
        <f t="shared" si="44"/>
        <v>1.1596410955959044</v>
      </c>
      <c r="W41" s="1">
        <v>26.8</v>
      </c>
      <c r="X41" s="13">
        <v>80.5</v>
      </c>
      <c r="Z41" s="5" t="s">
        <v>43</v>
      </c>
    </row>
    <row r="42" spans="1:26" ht="15">
      <c r="A42" s="24">
        <v>38881</v>
      </c>
      <c r="C42" s="1">
        <v>164</v>
      </c>
      <c r="D42" s="1">
        <v>2125</v>
      </c>
      <c r="E42" s="1">
        <v>1009.6</v>
      </c>
      <c r="F42" s="1">
        <v>26.4</v>
      </c>
      <c r="G42" s="1">
        <v>24.4</v>
      </c>
      <c r="H42" s="37">
        <f t="shared" si="36"/>
        <v>29.343413566403402</v>
      </c>
      <c r="I42" s="37">
        <f t="shared" si="37"/>
        <v>18.278871848111955</v>
      </c>
      <c r="J42" s="38">
        <f t="shared" si="38"/>
        <v>84.9143757321093</v>
      </c>
      <c r="K42" s="1">
        <v>27</v>
      </c>
      <c r="L42" s="1">
        <v>25</v>
      </c>
      <c r="M42" s="37">
        <f t="shared" si="39"/>
        <v>30.463432942175622</v>
      </c>
      <c r="N42" s="37">
        <f t="shared" si="40"/>
        <v>18.98461419888148</v>
      </c>
      <c r="O42" s="38">
        <f t="shared" si="41"/>
        <v>85.09631837674984</v>
      </c>
      <c r="P42" s="1">
        <v>1825</v>
      </c>
      <c r="R42" s="37">
        <f t="shared" si="42"/>
        <v>1.564629610253623</v>
      </c>
      <c r="S42" s="37">
        <f t="shared" si="43"/>
        <v>23.659846439518176</v>
      </c>
      <c r="U42" s="41">
        <f t="shared" si="44"/>
        <v>1.1609584937978186</v>
      </c>
      <c r="W42" s="1">
        <v>26.6</v>
      </c>
      <c r="X42" s="13">
        <v>82.25</v>
      </c>
      <c r="Z42" s="5" t="s">
        <v>43</v>
      </c>
    </row>
    <row r="43" spans="1:26" ht="15">
      <c r="A43" s="24">
        <v>38882</v>
      </c>
      <c r="C43" s="1">
        <v>165</v>
      </c>
      <c r="D43" s="1">
        <v>2155</v>
      </c>
      <c r="E43" s="1">
        <v>1009.8</v>
      </c>
      <c r="F43" s="1">
        <v>26.4</v>
      </c>
      <c r="G43" s="1">
        <v>23.6</v>
      </c>
      <c r="H43" s="37">
        <f t="shared" si="36"/>
        <v>27.367906958054025</v>
      </c>
      <c r="I43" s="37">
        <f t="shared" si="37"/>
        <v>17.032121806617617</v>
      </c>
      <c r="J43" s="38">
        <f t="shared" si="38"/>
        <v>79.19757282963137</v>
      </c>
      <c r="K43" s="9">
        <v>27</v>
      </c>
      <c r="L43" s="9">
        <v>24.5</v>
      </c>
      <c r="M43" s="37">
        <f t="shared" si="39"/>
        <v>29.192746469497166</v>
      </c>
      <c r="N43" s="37">
        <f t="shared" si="40"/>
        <v>18.180338443405084</v>
      </c>
      <c r="O43" s="38">
        <f t="shared" si="41"/>
        <v>81.5467364000581</v>
      </c>
      <c r="P43" s="10">
        <v>1855</v>
      </c>
      <c r="R43" s="37">
        <f t="shared" si="42"/>
        <v>1.4949318580639852</v>
      </c>
      <c r="S43" s="37">
        <f t="shared" si="43"/>
        <v>22.507468238330723</v>
      </c>
      <c r="U43" s="41">
        <f t="shared" si="44"/>
        <v>1.1620625010900894</v>
      </c>
      <c r="W43" s="1">
        <v>26.8</v>
      </c>
      <c r="X43" s="13">
        <v>78.5</v>
      </c>
      <c r="Z43" s="5" t="s">
        <v>43</v>
      </c>
    </row>
    <row r="44" spans="1:26" ht="15">
      <c r="A44" s="24">
        <v>38883</v>
      </c>
      <c r="C44" s="1">
        <v>166</v>
      </c>
      <c r="D44" s="1">
        <v>1940</v>
      </c>
      <c r="E44" s="1">
        <v>1009.5</v>
      </c>
      <c r="F44" s="1">
        <v>27.4</v>
      </c>
      <c r="G44" s="1">
        <v>23.8</v>
      </c>
      <c r="H44" s="37">
        <f>6.1121*(1.0007+0.00000346*E44)*EXP((17.502*(G44+$G$7))/(G44+$G$7+240.97))-PSY*(F44+$F$7-G44-$G$7)</f>
        <v>27.186247861430818</v>
      </c>
      <c r="I44" s="37">
        <f>0.622*H44/(E44-0.378*H44)*1000</f>
        <v>16.922985204149747</v>
      </c>
      <c r="J44" s="38">
        <f>100*H44/(6.1121*(1.0007+0.00000346*E44)*EXP((17.502*(F44+$F$7))/(F44+$F$7+240.97)))</f>
        <v>74.18117043877884</v>
      </c>
      <c r="K44" s="9">
        <v>28</v>
      </c>
      <c r="L44" s="9">
        <v>24.5</v>
      </c>
      <c r="M44" s="37">
        <f>6.1121*(1.0007+0.00000346*E44)*EXP((17.502*L44)/(L44+240.97))-PSY*(K44-L44)</f>
        <v>28.522858081162333</v>
      </c>
      <c r="N44" s="37">
        <f>0.622*M44/(E44-0.378*M44)*1000</f>
        <v>17.76398476621927</v>
      </c>
      <c r="O44" s="38">
        <f>100*M44/(6.1121*(1.0007+0.00000346*E44)*EXP((17.502*K44)/(K44+240.97)))</f>
        <v>75.14719285623262</v>
      </c>
      <c r="P44" s="10">
        <v>1640</v>
      </c>
      <c r="R44" s="37">
        <f>LN(H44/(6.112*(1.0007+0.00000346*E44)))</f>
        <v>1.4882730958385637</v>
      </c>
      <c r="S44" s="37">
        <f>241*R44/(17.502-R44)</f>
        <v>22.397897643919883</v>
      </c>
      <c r="U44" s="41">
        <f>100*E44/(RGAS*(F44+$F$7+TOK)*(1+0.00061*I44))</f>
        <v>1.157928384233498</v>
      </c>
      <c r="W44" s="1">
        <v>27.5</v>
      </c>
      <c r="X44" s="13">
        <v>71.7</v>
      </c>
      <c r="Z44" s="5" t="s">
        <v>43</v>
      </c>
    </row>
    <row r="45" spans="1:26" ht="15">
      <c r="A45" s="24">
        <v>38884</v>
      </c>
      <c r="H45" s="37"/>
      <c r="I45" s="37"/>
      <c r="J45" s="38"/>
      <c r="M45" s="37"/>
      <c r="N45" s="37"/>
      <c r="O45" s="38"/>
      <c r="R45" s="37"/>
      <c r="S45" s="37"/>
      <c r="U45" s="41"/>
      <c r="Z45" s="5"/>
    </row>
    <row r="46" ht="15">
      <c r="A46" s="24">
        <v>38885</v>
      </c>
    </row>
    <row r="47" ht="15">
      <c r="A47" s="24">
        <v>38886</v>
      </c>
    </row>
    <row r="48" ht="15">
      <c r="A48" s="24"/>
    </row>
    <row r="50" ht="15">
      <c r="A50" s="24"/>
    </row>
    <row r="52" ht="15">
      <c r="A52" s="24"/>
    </row>
    <row r="54" ht="15">
      <c r="A54" s="24"/>
    </row>
    <row r="56" ht="15">
      <c r="A56" s="24"/>
    </row>
  </sheetData>
  <printOptions/>
  <pageMargins left="0.5" right="0.5" top="0.5" bottom="0.5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E16" sqref="E16"/>
    </sheetView>
  </sheetViews>
  <sheetFormatPr defaultColWidth="8.88671875" defaultRowHeight="15"/>
  <sheetData>
    <row r="1" spans="1:4" ht="15.75">
      <c r="A1" s="27" t="s">
        <v>48</v>
      </c>
      <c r="B1" s="27" t="s">
        <v>49</v>
      </c>
      <c r="C1" s="27" t="s">
        <v>50</v>
      </c>
      <c r="D1" s="26"/>
    </row>
    <row r="2" spans="1:4" ht="15">
      <c r="A2" s="28">
        <v>79.77340708343259</v>
      </c>
      <c r="B2" s="28">
        <v>81.43618888883537</v>
      </c>
      <c r="C2" s="29">
        <v>78.6</v>
      </c>
      <c r="D2" s="26"/>
    </row>
    <row r="3" spans="1:4" ht="15">
      <c r="A3" s="28">
        <v>71.86305615537167</v>
      </c>
      <c r="B3" s="28">
        <v>71.40074543156084</v>
      </c>
      <c r="C3" s="29">
        <v>71.4</v>
      </c>
      <c r="D3" s="26"/>
    </row>
    <row r="4" spans="1:4" ht="15">
      <c r="A4" s="28">
        <v>76.29297036861847</v>
      </c>
      <c r="B4" s="28">
        <v>76.57006815721306</v>
      </c>
      <c r="C4" s="29">
        <v>75.8</v>
      </c>
      <c r="D4" s="26"/>
    </row>
    <row r="5" spans="1:4" ht="15">
      <c r="A5" s="28">
        <v>76.87634762532281</v>
      </c>
      <c r="B5" s="28">
        <v>77.23697834849021</v>
      </c>
      <c r="C5" s="29">
        <v>76.5</v>
      </c>
      <c r="D5" s="26"/>
    </row>
    <row r="6" spans="1:4" ht="15">
      <c r="A6" s="28">
        <v>75.22650268085758</v>
      </c>
      <c r="B6" s="28">
        <v>77.4668782749261</v>
      </c>
      <c r="C6" s="29">
        <v>73.8</v>
      </c>
      <c r="D6" s="26"/>
    </row>
    <row r="7" spans="1:4" ht="15">
      <c r="A7" s="28">
        <v>73.65279438077168</v>
      </c>
      <c r="B7" s="28">
        <v>89.0406635324422</v>
      </c>
      <c r="C7" s="29">
        <v>73.4</v>
      </c>
      <c r="D7" s="26"/>
    </row>
    <row r="8" spans="1:4" ht="15">
      <c r="A8" s="28">
        <v>77.51775814557051</v>
      </c>
      <c r="B8" s="28">
        <v>77.61132728462954</v>
      </c>
      <c r="C8" s="29">
        <v>71</v>
      </c>
      <c r="D8" s="26"/>
    </row>
    <row r="9" spans="1:4" ht="15">
      <c r="A9" s="28">
        <v>78.93766790177386</v>
      </c>
      <c r="B9" s="28">
        <v>79.8198953198406</v>
      </c>
      <c r="C9" s="29">
        <v>76.1</v>
      </c>
      <c r="D9" s="26"/>
    </row>
    <row r="10" spans="1:4" ht="15">
      <c r="A10" s="28">
        <v>77.42320928976568</v>
      </c>
      <c r="B10" s="28">
        <v>77.61134574881598</v>
      </c>
      <c r="C10" s="29">
        <v>77.7</v>
      </c>
      <c r="D10" s="26"/>
    </row>
    <row r="11" spans="1:4" ht="15">
      <c r="A11" s="28">
        <v>80.11860293355392</v>
      </c>
      <c r="B11" s="28">
        <v>81.84795546070409</v>
      </c>
      <c r="C11" s="29">
        <v>79.8</v>
      </c>
      <c r="D11" s="26"/>
    </row>
    <row r="12" spans="1:4" ht="15">
      <c r="A12" s="28">
        <v>84.26484554472142</v>
      </c>
      <c r="B12" s="28">
        <v>84.46701471552186</v>
      </c>
      <c r="C12" s="29">
        <v>78.9</v>
      </c>
      <c r="D12" s="26"/>
    </row>
    <row r="13" spans="1:4" ht="15">
      <c r="A13" s="28">
        <v>81.34014677503964</v>
      </c>
      <c r="B13" s="28">
        <v>84.46702487538619</v>
      </c>
      <c r="C13" s="29">
        <v>78.2</v>
      </c>
      <c r="D13" s="26"/>
    </row>
    <row r="14" spans="1:4" ht="15">
      <c r="A14" s="28">
        <v>79.50336124205047</v>
      </c>
      <c r="B14" s="28">
        <v>77.13337286400582</v>
      </c>
      <c r="C14" s="29">
        <v>76.7</v>
      </c>
      <c r="D14" s="26"/>
    </row>
    <row r="15" spans="1:4" ht="15">
      <c r="A15" s="28">
        <v>80.07734196995413</v>
      </c>
      <c r="B15" s="28">
        <v>83.3638953288362</v>
      </c>
      <c r="C15" s="29">
        <v>76.5</v>
      </c>
      <c r="D15" s="26"/>
    </row>
    <row r="16" spans="1:4" ht="15">
      <c r="A16" s="28">
        <v>82.29029164299908</v>
      </c>
      <c r="B16" s="28">
        <v>76.62895414050044</v>
      </c>
      <c r="C16" s="29">
        <v>76.1</v>
      </c>
      <c r="D16" s="26"/>
    </row>
    <row r="17" spans="1:4" ht="15">
      <c r="A17" s="28">
        <v>80.66407964338492</v>
      </c>
      <c r="B17" s="28">
        <v>81.76683086262213</v>
      </c>
      <c r="C17" s="29">
        <v>78.1</v>
      </c>
      <c r="D17" s="26"/>
    </row>
    <row r="18" spans="1:4" ht="15">
      <c r="A18" s="28">
        <v>83.76672153952617</v>
      </c>
      <c r="B18" s="28">
        <v>84.12637276198454</v>
      </c>
      <c r="C18" s="29">
        <v>81.8</v>
      </c>
      <c r="D18" s="26"/>
    </row>
    <row r="19" spans="1:4" ht="15">
      <c r="A19" s="28">
        <v>86.85642655417136</v>
      </c>
      <c r="B19" s="28">
        <v>87.84856686702369</v>
      </c>
      <c r="C19" s="29">
        <v>83.2</v>
      </c>
      <c r="D19" s="26"/>
    </row>
    <row r="20" spans="1:3" ht="15">
      <c r="A20" s="25"/>
      <c r="B20" s="25"/>
      <c r="C20" s="25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qwedfsdcf dc</cp:lastModifiedBy>
  <dcterms:created xsi:type="dcterms:W3CDTF">2006-05-27T23:35:43Z</dcterms:created>
  <dcterms:modified xsi:type="dcterms:W3CDTF">2006-06-15T21:34:56Z</dcterms:modified>
  <cp:category/>
  <cp:version/>
  <cp:contentType/>
  <cp:contentStatus/>
</cp:coreProperties>
</file>