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1-32" sheetId="1" r:id="rId1"/>
    <sheet name="32-64" sheetId="2" r:id="rId2"/>
    <sheet name="65-96" sheetId="3" r:id="rId3"/>
    <sheet name="97-128" sheetId="5" r:id="rId4"/>
    <sheet name="129-160" sheetId="6" r:id="rId5"/>
    <sheet name="161-192" sheetId="7" r:id="rId6"/>
    <sheet name="193-211" sheetId="8" r:id="rId7"/>
    <sheet name="Total" sheetId="11" r:id="rId8"/>
    <sheet name="Manual-Launches" sheetId="4" r:id="rId9"/>
    <sheet name="Schedule" sheetId="10" r:id="rId10"/>
  </sheets>
  <calcPr calcId="152511"/>
</workbook>
</file>

<file path=xl/calcChain.xml><?xml version="1.0" encoding="utf-8"?>
<calcChain xmlns="http://schemas.openxmlformats.org/spreadsheetml/2006/main">
  <c r="J14" i="8" l="1"/>
  <c r="J15" i="8"/>
  <c r="J205" i="11" l="1"/>
  <c r="I205" i="11"/>
  <c r="J204" i="11"/>
  <c r="I204" i="11"/>
  <c r="J203" i="11"/>
  <c r="I203" i="11"/>
  <c r="J202" i="11"/>
  <c r="J201" i="11"/>
  <c r="I201" i="11"/>
  <c r="J200" i="11"/>
  <c r="I200" i="11"/>
  <c r="J12" i="8" l="1"/>
  <c r="J11" i="8"/>
  <c r="I20" i="8"/>
  <c r="I19" i="8"/>
  <c r="I18" i="8"/>
  <c r="I17" i="8"/>
  <c r="I16" i="8"/>
  <c r="I15" i="8"/>
  <c r="I14" i="8"/>
  <c r="I13" i="8"/>
  <c r="I12" i="8"/>
  <c r="I11" i="8"/>
  <c r="I10" i="8"/>
  <c r="J10" i="8"/>
  <c r="J9" i="8"/>
  <c r="I8" i="8"/>
  <c r="J8" i="8"/>
  <c r="I7" i="8"/>
  <c r="J7" i="8"/>
  <c r="J199" i="11"/>
  <c r="I199" i="11"/>
  <c r="E208" i="11"/>
  <c r="E209" i="11" s="1"/>
  <c r="E210" i="11" s="1"/>
  <c r="F208" i="11"/>
  <c r="F209" i="11" s="1"/>
  <c r="F210" i="11" s="1"/>
  <c r="I3" i="8"/>
  <c r="I4" i="8"/>
  <c r="I6" i="8"/>
  <c r="J6" i="8"/>
  <c r="J196" i="11"/>
  <c r="I196" i="11"/>
  <c r="J195" i="11"/>
  <c r="I195" i="11"/>
  <c r="J193" i="11"/>
  <c r="I193" i="11"/>
  <c r="J192" i="11"/>
  <c r="I192" i="11"/>
  <c r="J191" i="11"/>
  <c r="I191" i="11"/>
  <c r="J190" i="11"/>
  <c r="I190" i="11"/>
  <c r="J189" i="11"/>
  <c r="I189" i="11"/>
  <c r="I188" i="11"/>
  <c r="J187" i="11"/>
  <c r="I187" i="11"/>
  <c r="J186" i="11"/>
  <c r="I186" i="11"/>
  <c r="J185" i="11"/>
  <c r="I185" i="11"/>
  <c r="J184" i="11"/>
  <c r="I184" i="11"/>
  <c r="J183" i="11"/>
  <c r="I183" i="11"/>
  <c r="J182" i="11"/>
  <c r="I182" i="11"/>
  <c r="J181" i="11"/>
  <c r="I181" i="11"/>
  <c r="I180" i="11"/>
  <c r="I179" i="11"/>
  <c r="J178" i="11"/>
  <c r="I178" i="11"/>
  <c r="I177" i="11"/>
  <c r="J176" i="11"/>
  <c r="I176" i="11"/>
  <c r="J175" i="11"/>
  <c r="I175" i="11"/>
  <c r="J174" i="11"/>
  <c r="I174" i="11"/>
  <c r="I173" i="11"/>
  <c r="I171" i="11"/>
  <c r="J170" i="11"/>
  <c r="I170" i="11"/>
  <c r="J169" i="11"/>
  <c r="I169" i="11"/>
  <c r="J168" i="11"/>
  <c r="I168" i="11"/>
  <c r="I167" i="11"/>
  <c r="I166" i="11"/>
  <c r="J165" i="11"/>
  <c r="I165" i="11"/>
  <c r="I160" i="11"/>
  <c r="I159" i="11"/>
  <c r="I158" i="11"/>
  <c r="J157" i="11"/>
  <c r="I157" i="11"/>
  <c r="J156" i="11"/>
  <c r="I156" i="11"/>
  <c r="J155" i="11"/>
  <c r="I155" i="11"/>
  <c r="J154" i="11"/>
  <c r="I154" i="11"/>
  <c r="J153" i="11"/>
  <c r="I153" i="11"/>
  <c r="I152" i="11"/>
  <c r="J151" i="11"/>
  <c r="I151" i="11"/>
  <c r="J150" i="11"/>
  <c r="I150" i="11"/>
  <c r="J149" i="11"/>
  <c r="I149" i="11"/>
  <c r="J148" i="11"/>
  <c r="I148" i="11"/>
  <c r="J147" i="11"/>
  <c r="I147" i="11"/>
  <c r="I146" i="11"/>
  <c r="I145" i="11"/>
  <c r="J144" i="11"/>
  <c r="I144" i="11"/>
  <c r="J143" i="11"/>
  <c r="I143" i="11"/>
  <c r="J142" i="11"/>
  <c r="I142" i="11"/>
  <c r="J141" i="11"/>
  <c r="I141" i="11"/>
  <c r="J140" i="11"/>
  <c r="I140" i="11"/>
  <c r="J139" i="11"/>
  <c r="I139" i="11"/>
  <c r="I138" i="11"/>
  <c r="I137" i="11"/>
  <c r="J136" i="11"/>
  <c r="I136" i="11"/>
  <c r="J135" i="11"/>
  <c r="I135" i="11"/>
  <c r="J134" i="11"/>
  <c r="I134" i="11"/>
  <c r="J133" i="11"/>
  <c r="I133" i="11"/>
  <c r="J132" i="11"/>
  <c r="I132" i="11"/>
  <c r="I131" i="11"/>
  <c r="I130" i="11"/>
  <c r="I129" i="11"/>
  <c r="J128" i="11"/>
  <c r="I128" i="11"/>
  <c r="J127" i="11"/>
  <c r="I127" i="11"/>
  <c r="I126" i="11"/>
  <c r="J125" i="11"/>
  <c r="I125" i="11"/>
  <c r="J124" i="11"/>
  <c r="I124" i="11"/>
  <c r="I123" i="11"/>
  <c r="I122" i="11"/>
  <c r="I121" i="11"/>
  <c r="J120" i="11"/>
  <c r="I120" i="11"/>
  <c r="J119" i="11"/>
  <c r="I119" i="11"/>
  <c r="J118" i="11"/>
  <c r="I118" i="11"/>
  <c r="J117" i="11"/>
  <c r="I117" i="11"/>
  <c r="I116" i="11"/>
  <c r="I115" i="11"/>
  <c r="I114" i="11"/>
  <c r="I113" i="11"/>
  <c r="I112" i="11"/>
  <c r="J111" i="11"/>
  <c r="I111" i="11"/>
  <c r="I110" i="11"/>
  <c r="J109" i="11"/>
  <c r="I109" i="11"/>
  <c r="I108" i="11"/>
  <c r="I107" i="11"/>
  <c r="I106" i="11"/>
  <c r="I105" i="11"/>
  <c r="I104" i="11"/>
  <c r="J103" i="11"/>
  <c r="I103" i="11"/>
  <c r="J102" i="11"/>
  <c r="I102" i="11"/>
  <c r="J101" i="11"/>
  <c r="I101" i="11"/>
  <c r="J100" i="11"/>
  <c r="I100" i="11"/>
  <c r="I99" i="11"/>
  <c r="I98" i="11"/>
  <c r="I97" i="11"/>
  <c r="J96" i="11"/>
  <c r="I96" i="11"/>
  <c r="J95" i="11"/>
  <c r="I95" i="11"/>
  <c r="J94" i="11"/>
  <c r="I94" i="11"/>
  <c r="J93" i="11"/>
  <c r="I93" i="11"/>
  <c r="J92" i="11"/>
  <c r="I92" i="11"/>
  <c r="I91" i="11"/>
  <c r="I90" i="11"/>
  <c r="I89" i="11"/>
  <c r="J88" i="11"/>
  <c r="I88" i="11"/>
  <c r="J87" i="11"/>
  <c r="I87" i="11"/>
  <c r="J85" i="11"/>
  <c r="I85" i="11"/>
  <c r="J84" i="11"/>
  <c r="I84" i="11"/>
  <c r="J83" i="11"/>
  <c r="I83" i="11"/>
  <c r="I82" i="11"/>
  <c r="J81" i="11"/>
  <c r="I81" i="11"/>
  <c r="I80" i="11"/>
  <c r="J79" i="11"/>
  <c r="I79" i="11"/>
  <c r="J78" i="11"/>
  <c r="I78" i="11"/>
  <c r="J77" i="11"/>
  <c r="I77" i="11"/>
  <c r="J76" i="11"/>
  <c r="I76" i="11"/>
  <c r="J75" i="11"/>
  <c r="I75" i="11"/>
  <c r="I74" i="11"/>
  <c r="I73" i="11"/>
  <c r="I72" i="11"/>
  <c r="J71" i="11"/>
  <c r="I71" i="11"/>
  <c r="J70" i="11"/>
  <c r="I70" i="11"/>
  <c r="J69" i="11"/>
  <c r="I69" i="11"/>
  <c r="J68" i="11"/>
  <c r="I68" i="11"/>
  <c r="J67" i="11"/>
  <c r="I67" i="11"/>
  <c r="I66" i="11"/>
  <c r="J65" i="11"/>
  <c r="I65" i="11"/>
  <c r="I64" i="11"/>
  <c r="J63" i="11"/>
  <c r="I63" i="11"/>
  <c r="J60" i="11"/>
  <c r="I60" i="11"/>
  <c r="J59" i="11"/>
  <c r="I59" i="11"/>
  <c r="J58" i="11"/>
  <c r="I58" i="11"/>
  <c r="J57" i="11"/>
  <c r="I57" i="11"/>
  <c r="I56" i="11"/>
  <c r="I55" i="11"/>
  <c r="J54" i="11"/>
  <c r="I54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I32" i="11"/>
  <c r="J31" i="11"/>
  <c r="I31" i="11"/>
  <c r="J30" i="11"/>
  <c r="I30" i="11"/>
  <c r="J29" i="11"/>
  <c r="I29" i="11"/>
  <c r="I28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1" i="11"/>
  <c r="I11" i="11"/>
  <c r="J10" i="11"/>
  <c r="I10" i="11"/>
  <c r="J9" i="11"/>
  <c r="I9" i="11"/>
  <c r="J8" i="11"/>
  <c r="I8" i="11"/>
  <c r="J7" i="11"/>
  <c r="I7" i="11"/>
  <c r="J5" i="11"/>
  <c r="I5" i="11"/>
  <c r="J4" i="11"/>
  <c r="I4" i="11"/>
  <c r="J3" i="11"/>
  <c r="I3" i="11"/>
  <c r="J2" i="11"/>
  <c r="I2" i="11"/>
  <c r="J1" i="11"/>
  <c r="I1" i="11"/>
  <c r="J3" i="8"/>
  <c r="J2" i="8"/>
  <c r="I2" i="8"/>
  <c r="J35" i="7"/>
  <c r="J34" i="7"/>
  <c r="J33" i="7"/>
  <c r="J32" i="7"/>
  <c r="J31" i="7"/>
  <c r="J30" i="7"/>
  <c r="J28" i="7"/>
  <c r="J27" i="7"/>
  <c r="J26" i="7"/>
  <c r="J25" i="7"/>
  <c r="J24" i="7"/>
  <c r="J23" i="7"/>
  <c r="J22" i="7"/>
  <c r="I208" i="11" l="1"/>
  <c r="I209" i="11" s="1"/>
  <c r="I210" i="11" s="1"/>
  <c r="J208" i="11"/>
  <c r="J209" i="11" s="1"/>
  <c r="J210" i="11" s="1"/>
  <c r="J19" i="7"/>
  <c r="J17" i="7"/>
  <c r="J16" i="7"/>
  <c r="J15" i="7"/>
  <c r="J11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2" i="7"/>
  <c r="I11" i="7"/>
  <c r="I10" i="7"/>
  <c r="I9" i="7"/>
  <c r="J10" i="7"/>
  <c r="I7" i="7"/>
  <c r="I8" i="7"/>
  <c r="J9" i="7"/>
  <c r="I6" i="7"/>
  <c r="J6" i="7"/>
  <c r="F37" i="7" l="1"/>
  <c r="F38" i="7" s="1"/>
  <c r="E37" i="7"/>
  <c r="E38" i="7" s="1"/>
  <c r="J26" i="6"/>
  <c r="J27" i="6"/>
  <c r="J30" i="6"/>
  <c r="J29" i="6"/>
  <c r="J28" i="6"/>
  <c r="J24" i="6"/>
  <c r="J23" i="6"/>
  <c r="J22" i="6"/>
  <c r="J21" i="6"/>
  <c r="J20" i="6"/>
  <c r="J17" i="6"/>
  <c r="J16" i="6"/>
  <c r="J15" i="6"/>
  <c r="J14" i="6"/>
  <c r="J13" i="6"/>
  <c r="J12" i="6"/>
  <c r="J9" i="6"/>
  <c r="J8" i="6"/>
  <c r="J33" i="5"/>
  <c r="J7" i="6"/>
  <c r="J6" i="6"/>
  <c r="J5" i="6"/>
  <c r="I26" i="6"/>
  <c r="I27" i="6"/>
  <c r="I28" i="6"/>
  <c r="I29" i="6"/>
  <c r="I30" i="6"/>
  <c r="I31" i="6"/>
  <c r="I32" i="6"/>
  <c r="I33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" i="6"/>
  <c r="F35" i="6"/>
  <c r="E35" i="6"/>
  <c r="E36" i="6" s="1"/>
  <c r="J32" i="5"/>
  <c r="E39" i="7" l="1"/>
  <c r="F39" i="7"/>
  <c r="I37" i="7"/>
  <c r="J37" i="7"/>
  <c r="J38" i="7" s="1"/>
  <c r="E37" i="6"/>
  <c r="F36" i="6"/>
  <c r="F37" i="6" s="1"/>
  <c r="I35" i="6"/>
  <c r="J35" i="6"/>
  <c r="J30" i="5"/>
  <c r="J29" i="5"/>
  <c r="J25" i="5"/>
  <c r="J24" i="5"/>
  <c r="J23" i="5"/>
  <c r="J22" i="5"/>
  <c r="J39" i="7" l="1"/>
  <c r="I38" i="7"/>
  <c r="I39" i="7" s="1"/>
  <c r="I36" i="6"/>
  <c r="I37" i="6" s="1"/>
  <c r="J36" i="6"/>
  <c r="J37" i="6" s="1"/>
  <c r="J16" i="5"/>
  <c r="J14" i="5"/>
  <c r="J8" i="5"/>
  <c r="J7" i="5"/>
  <c r="J6" i="5"/>
  <c r="J5" i="5"/>
  <c r="I28" i="5"/>
  <c r="I29" i="5"/>
  <c r="I30" i="5"/>
  <c r="I31" i="5"/>
  <c r="I32" i="5"/>
  <c r="I33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" i="5"/>
  <c r="I33" i="3"/>
  <c r="J33" i="3"/>
  <c r="J35" i="3"/>
  <c r="F38" i="1"/>
  <c r="I32" i="3"/>
  <c r="J32" i="3"/>
  <c r="I31" i="3"/>
  <c r="J31" i="3"/>
  <c r="I30" i="3"/>
  <c r="J30" i="3"/>
  <c r="I29" i="3"/>
  <c r="J29" i="3"/>
  <c r="I28" i="3"/>
  <c r="I26" i="3"/>
  <c r="I27" i="3"/>
  <c r="I25" i="3"/>
  <c r="J25" i="3"/>
  <c r="F35" i="5"/>
  <c r="E35" i="5"/>
  <c r="J24" i="3"/>
  <c r="J18" i="3"/>
  <c r="I24" i="3"/>
  <c r="I22" i="3"/>
  <c r="J22" i="3"/>
  <c r="I21" i="3"/>
  <c r="J21" i="3"/>
  <c r="I20" i="3"/>
  <c r="J20" i="3"/>
  <c r="I19" i="3"/>
  <c r="I18" i="3"/>
  <c r="I17" i="3"/>
  <c r="I16" i="3"/>
  <c r="J16" i="3"/>
  <c r="I15" i="3"/>
  <c r="J15" i="3"/>
  <c r="I14" i="3"/>
  <c r="I34" i="1"/>
  <c r="J14" i="3"/>
  <c r="I13" i="3"/>
  <c r="J13" i="3"/>
  <c r="I35" i="5" l="1"/>
  <c r="J35" i="5"/>
  <c r="E36" i="5"/>
  <c r="E37" i="5" s="1"/>
  <c r="F36" i="5"/>
  <c r="F37" i="5" s="1"/>
  <c r="I12" i="3"/>
  <c r="J12" i="3"/>
  <c r="I11" i="3"/>
  <c r="I10" i="3"/>
  <c r="I9" i="3"/>
  <c r="I8" i="3"/>
  <c r="J8" i="3"/>
  <c r="I7" i="3"/>
  <c r="J7" i="3"/>
  <c r="J36" i="5" l="1"/>
  <c r="J37" i="5" s="1"/>
  <c r="I36" i="5"/>
  <c r="I37" i="5" s="1"/>
  <c r="I6" i="3"/>
  <c r="I5" i="3"/>
  <c r="J6" i="3"/>
  <c r="J5" i="3" l="1"/>
  <c r="I4" i="3"/>
  <c r="J4" i="3"/>
  <c r="J2" i="3"/>
  <c r="I2" i="3"/>
  <c r="I3" i="3"/>
  <c r="L3" i="3"/>
  <c r="I33" i="2"/>
  <c r="I32" i="2"/>
  <c r="J32" i="2"/>
  <c r="I29" i="2"/>
  <c r="J29" i="2"/>
  <c r="J28" i="2"/>
  <c r="I28" i="2"/>
  <c r="I27" i="2"/>
  <c r="J27" i="2"/>
  <c r="J26" i="2"/>
  <c r="I26" i="2"/>
  <c r="I25" i="2"/>
  <c r="I24" i="2"/>
  <c r="J23" i="2"/>
  <c r="I23" i="2"/>
  <c r="I21" i="2" l="1"/>
  <c r="J21" i="2"/>
  <c r="J20" i="2"/>
  <c r="J19" i="2"/>
  <c r="J18" i="2"/>
  <c r="J17" i="2"/>
  <c r="I20" i="2"/>
  <c r="I19" i="2"/>
  <c r="K13" i="2" s="1"/>
  <c r="I18" i="2"/>
  <c r="I17" i="2"/>
  <c r="I16" i="2"/>
  <c r="J16" i="2"/>
  <c r="I15" i="2"/>
  <c r="J15" i="2"/>
  <c r="I14" i="2"/>
  <c r="J14" i="2"/>
  <c r="I13" i="2"/>
  <c r="J13" i="2"/>
  <c r="J11" i="2"/>
  <c r="I11" i="2"/>
  <c r="J10" i="2"/>
  <c r="J9" i="2"/>
  <c r="I10" i="2"/>
  <c r="I9" i="2"/>
  <c r="J5" i="2"/>
  <c r="J7" i="2"/>
  <c r="J8" i="2"/>
  <c r="I8" i="2"/>
  <c r="I6" i="2"/>
  <c r="J6" i="2"/>
  <c r="I7" i="2"/>
  <c r="I5" i="2"/>
  <c r="J4" i="2"/>
  <c r="I4" i="2"/>
  <c r="J3" i="2"/>
  <c r="I3" i="2"/>
  <c r="J2" i="2"/>
  <c r="I2" i="2"/>
  <c r="I33" i="1"/>
  <c r="J33" i="1"/>
  <c r="I32" i="1"/>
  <c r="J32" i="1"/>
  <c r="J28" i="1"/>
  <c r="J31" i="1"/>
  <c r="I31" i="1"/>
  <c r="I30" i="1"/>
  <c r="I29" i="1"/>
  <c r="I28" i="1"/>
  <c r="I27" i="1"/>
  <c r="J27" i="1"/>
  <c r="J26" i="1"/>
  <c r="I26" i="1"/>
  <c r="J36" i="3"/>
  <c r="I35" i="3"/>
  <c r="F35" i="3"/>
  <c r="E35" i="3"/>
  <c r="F35" i="2"/>
  <c r="E35" i="2"/>
  <c r="J23" i="1"/>
  <c r="J24" i="1"/>
  <c r="J25" i="1"/>
  <c r="I25" i="1"/>
  <c r="I24" i="1"/>
  <c r="I23" i="1"/>
  <c r="J22" i="1"/>
  <c r="I22" i="1"/>
  <c r="J20" i="1"/>
  <c r="I20" i="1"/>
  <c r="F36" i="1"/>
  <c r="E36" i="1"/>
  <c r="E37" i="1" s="1"/>
  <c r="J18" i="1"/>
  <c r="J17" i="1"/>
  <c r="J16" i="1"/>
  <c r="J15" i="1"/>
  <c r="J13" i="1"/>
  <c r="J12" i="1"/>
  <c r="J11" i="1"/>
  <c r="J10" i="1"/>
  <c r="J9" i="1"/>
  <c r="J7" i="1"/>
  <c r="J6" i="1"/>
  <c r="J5" i="1"/>
  <c r="J4" i="1"/>
  <c r="J3" i="1"/>
  <c r="J2" i="1"/>
  <c r="J19" i="1"/>
  <c r="I19" i="1"/>
  <c r="I18" i="1"/>
  <c r="I17" i="1"/>
  <c r="I16" i="1"/>
  <c r="I15" i="1"/>
  <c r="I13" i="1"/>
  <c r="I12" i="1"/>
  <c r="I11" i="1"/>
  <c r="I10" i="1"/>
  <c r="I9" i="1"/>
  <c r="I7" i="1"/>
  <c r="I6" i="1"/>
  <c r="I5" i="1"/>
  <c r="I4" i="1"/>
  <c r="J37" i="3" l="1"/>
  <c r="E36" i="3"/>
  <c r="E37" i="3" s="1"/>
  <c r="F36" i="3"/>
  <c r="F37" i="3" s="1"/>
  <c r="I36" i="3"/>
  <c r="I37" i="3" s="1"/>
  <c r="F36" i="2"/>
  <c r="F37" i="2" s="1"/>
  <c r="I35" i="2"/>
  <c r="J35" i="2"/>
  <c r="J36" i="2" s="1"/>
  <c r="E36" i="2"/>
  <c r="E37" i="2" s="1"/>
  <c r="E38" i="1"/>
  <c r="J36" i="1"/>
  <c r="F37" i="1"/>
  <c r="I3" i="1"/>
  <c r="I2" i="1"/>
  <c r="I36" i="1" l="1"/>
  <c r="I37" i="1" s="1"/>
  <c r="I38" i="1" s="1"/>
  <c r="J37" i="1"/>
  <c r="J37" i="2"/>
  <c r="I36" i="2"/>
  <c r="I37" i="2" s="1"/>
  <c r="K36" i="1" l="1"/>
  <c r="J38" i="1"/>
  <c r="K38" i="1" s="1"/>
  <c r="K37" i="1"/>
</calcChain>
</file>

<file path=xl/comments1.xml><?xml version="1.0" encoding="utf-8"?>
<comments xmlns="http://schemas.openxmlformats.org/spreadsheetml/2006/main">
  <authors>
    <author>Author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just for the up part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Bottle only had ~800 PSI
got two balloons, but 2nd was super slow!!
WMO message may not have made it to Boulder and then GTS on time.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just for the up part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 to flight to test GPS and finish in time for next launch.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Still losing GPS later in launch even though we moved antenna. Satellites return for a short timeif I unplug and plug in cabel to GPS antenna Lost local satellite data ~12000m ininto launch. Also see only one bar for signal strength most of launch.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manually shutdown flight after it stoped receiving any data (4902) Not sureif GPS antenna testing caused this.
Unusual amount of time for manual stop!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Still losing GPS later in launch even though we moved antenna. Satellites return for a short timeif I unplug and plug in cabel to GPS antenna Lost local satellite data ~12000m ininto launch. Also see only one bar for signal strength most of launch.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stop no down data hung at4742 21582 42.8  5829 40.39 RAW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Author:
Still losing GPS later in launch Satellites return for a short timeif I unplug and plug in cabel to GPS antenna Lost local satellite data Strong sonde signal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stop lost signal
no down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stop no down data lost signal above ~80mb
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Ship receiver had SV, but SPS did see any until after several reboots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Time
20160223171337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 do have down data
Only WTEC ASCCI file, no LatLon file.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Time
20160223200524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 do have down data
Only WTEC ASCCI file, not LatLon file.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Time
20160223230926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 do have down data
Only WTEC ASCCI file, not LatLon file.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Time
20160224020534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ManualStart time
20160224050914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see table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Time
20160224080647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see table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20160224105954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see table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LaunchTime
20160224020829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ManualLaunch Tme
20160224050844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Reale Time
20160225082028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Reale Time
20160225110647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20160225140223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20160225140223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20160225201716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20160206020701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20160226050400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just for the up part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Mannual launch Time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20160226110743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2016021626140144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LaunchTime
20160226165753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20160226200652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20160226230130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20160227020821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20160227050733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odd shaped balloon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081126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110838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odd shaped balloon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20160227173106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reconditioned in order to speed up launch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Delsyed due to buoy operations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2016022720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odd shaped balloon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Possible interference by first sonde..forgot to offset freq Manually stopped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20160229111727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just for the up part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Up and dn time</t>
        </r>
      </text>
    </comment>
    <comment ref="M2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New saw raw gps except for a few blips during setup. Therefore no winds!! Bad sonde??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just for the up part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Up and dn time</t>
        </r>
      </text>
    </comment>
    <comment ref="M3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System seem to hang,
SPS ligths stated cycling after the launch ws finished. Power cycle cleared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just for the up part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Up and dn time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just for the up part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Up and dn time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Special battery less He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SPS220 errors at 411 mb
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J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 to flight to test GPS and finish in time for next launch.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manually shutdown flight after it stoped receiving any data (4902) Not sureif GPS antenna testing caused this.
Unusual amount of time for manual stop!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stop no down data hung at4742 21582 42.8  5829 40.39 RAW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stop lost signal
no down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stop no down data lost signal above ~80mb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2830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726 mb
below minimum accepted relaunch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down manual stop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Time
20160223171337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Time
20160223200524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Time
20160223230926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Time
20160224020534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ManualStart time
20160224050914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Start Time
20160224080647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20160224105954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LaunchTime
20160224020829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ManualLaunch Tme
20160224050844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Reale Time
20160225082028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Reale Time
20160225110647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20160225140223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20160225140223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20160225201716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20160206020701
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20160226050400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Mannual launch Time
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20160226110743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2016021626140144
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LaunchTime
20160226165753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20160226200652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20160226230130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20160227020821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20160227050733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odd shaped balloon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081126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110838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odd shaped balloon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20160227173106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2016022720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odd shaped balloon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20160229111727
</t>
        </r>
      </text>
    </comment>
    <comment ref="E1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4982</t>
        </r>
      </text>
    </comment>
    <comment ref="F1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561 below minimum </t>
        </r>
      </text>
    </comment>
    <comment ref="E1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5158</t>
        </r>
      </text>
    </comment>
    <comment ref="F1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549 below minimum cutoff
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20160227020821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Launch Time
20160227020821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050733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050733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081126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081126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110838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
110838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GPS all the way up!!</t>
        </r>
      </text>
    </comment>
  </commentList>
</comments>
</file>

<file path=xl/sharedStrings.xml><?xml version="1.0" encoding="utf-8"?>
<sst xmlns="http://schemas.openxmlformats.org/spreadsheetml/2006/main" count="1961" uniqueCount="714">
  <si>
    <t>Launch</t>
  </si>
  <si>
    <t>S/N</t>
  </si>
  <si>
    <t>Max Ht</t>
  </si>
  <si>
    <t>Min P</t>
  </si>
  <si>
    <t>Ascent Rate</t>
  </si>
  <si>
    <t>Duration (hr)</t>
  </si>
  <si>
    <t>Duration (s)</t>
  </si>
  <si>
    <t>Delta T</t>
  </si>
  <si>
    <t>Delta RH</t>
  </si>
  <si>
    <t>Test</t>
  </si>
  <si>
    <t>UTC</t>
  </si>
  <si>
    <t>20160216190257</t>
  </si>
  <si>
    <t>Comment</t>
  </si>
  <si>
    <t>200gm</t>
  </si>
  <si>
    <t>L5033429</t>
  </si>
  <si>
    <t>20160217032854</t>
  </si>
  <si>
    <t>350gm</t>
  </si>
  <si>
    <t>L5013832</t>
  </si>
  <si>
    <t>20160217072835</t>
  </si>
  <si>
    <t>Launch time UTC</t>
  </si>
  <si>
    <t>L5033243</t>
  </si>
  <si>
    <t>L5013824</t>
  </si>
  <si>
    <t>20160217111020</t>
  </si>
  <si>
    <t>L5033435</t>
  </si>
  <si>
    <t>20160217153553</t>
  </si>
  <si>
    <t>He Tank #</t>
  </si>
  <si>
    <t>3-4</t>
  </si>
  <si>
    <t>5</t>
  </si>
  <si>
    <t>L5013805</t>
  </si>
  <si>
    <t>20160217213231</t>
  </si>
  <si>
    <t>2 balloons</t>
  </si>
  <si>
    <t>2,3</t>
  </si>
  <si>
    <t>sonde fell off no relaunch</t>
  </si>
  <si>
    <t>L5037839</t>
  </si>
  <si>
    <t>Lost signal/ relaunch G-IV</t>
  </si>
  <si>
    <t>L5013816</t>
  </si>
  <si>
    <t>20160218032503</t>
  </si>
  <si>
    <t>3</t>
  </si>
  <si>
    <t>4</t>
  </si>
  <si>
    <t>8</t>
  </si>
  <si>
    <t>12</t>
  </si>
  <si>
    <t>16</t>
  </si>
  <si>
    <t>L5013655</t>
  </si>
  <si>
    <t>20160218070725</t>
  </si>
  <si>
    <t>20160218111057</t>
  </si>
  <si>
    <t>L5033445</t>
  </si>
  <si>
    <t>L5013660</t>
  </si>
  <si>
    <t>20160218151001</t>
  </si>
  <si>
    <t>4-5</t>
  </si>
  <si>
    <t>L5013654</t>
  </si>
  <si>
    <t>emptied partial bottle</t>
  </si>
  <si>
    <t>L5013701</t>
  </si>
  <si>
    <t>20160218192340</t>
  </si>
  <si>
    <t>lost sonde..rain/gust</t>
  </si>
  <si>
    <t>L5033623</t>
  </si>
  <si>
    <t>20160218220212</t>
  </si>
  <si>
    <t>None</t>
  </si>
  <si>
    <t>G-IV comparison GPS antenna drop-out</t>
  </si>
  <si>
    <t>L5033615</t>
  </si>
  <si>
    <t>20160219031448</t>
  </si>
  <si>
    <t>6</t>
  </si>
  <si>
    <t>L5013688</t>
  </si>
  <si>
    <t>20160219970557</t>
  </si>
  <si>
    <t>L5013622</t>
  </si>
  <si>
    <t>20160219112157</t>
  </si>
  <si>
    <t>7</t>
  </si>
  <si>
    <t>9</t>
  </si>
  <si>
    <t>L5013672</t>
  </si>
  <si>
    <t>20160219151716</t>
  </si>
  <si>
    <t>L5013687</t>
  </si>
  <si>
    <t>20160219190631</t>
  </si>
  <si>
    <t>2 balloons same sonde</t>
  </si>
  <si>
    <t>Total flight</t>
  </si>
  <si>
    <t>local time change +1hr</t>
  </si>
  <si>
    <t>Average</t>
  </si>
  <si>
    <t>Max</t>
  </si>
  <si>
    <t>Min</t>
  </si>
  <si>
    <t>L5013673</t>
  </si>
  <si>
    <t>2 balloons same sonde hit crane</t>
  </si>
  <si>
    <t>L5013665</t>
  </si>
  <si>
    <t>20160220030949</t>
  </si>
  <si>
    <t>L5013658</t>
  </si>
  <si>
    <t>20160220070903</t>
  </si>
  <si>
    <t>L5013669</t>
  </si>
  <si>
    <t>20160220110740</t>
  </si>
  <si>
    <t>L5033838</t>
  </si>
  <si>
    <t>20160220150750</t>
  </si>
  <si>
    <t>port aft launch</t>
  </si>
  <si>
    <t>L5033887</t>
  </si>
  <si>
    <t>20160220190945</t>
  </si>
  <si>
    <t>Average down flight</t>
  </si>
  <si>
    <t>L5013675</t>
  </si>
  <si>
    <t>20160220231008</t>
  </si>
  <si>
    <t>L5013676</t>
  </si>
  <si>
    <t>10</t>
  </si>
  <si>
    <t>20160221030657</t>
  </si>
  <si>
    <t>L5033861</t>
  </si>
  <si>
    <t>20160221070859</t>
  </si>
  <si>
    <t>4.4</t>
  </si>
  <si>
    <t>L5013671</t>
  </si>
  <si>
    <t>20160221111128</t>
  </si>
  <si>
    <t>4.2</t>
  </si>
  <si>
    <t>L5013674</t>
  </si>
  <si>
    <t>20160221150947</t>
  </si>
  <si>
    <t>ship moved 45 deg/ port aft</t>
  </si>
  <si>
    <t>L5013664</t>
  </si>
  <si>
    <t>20160221191311</t>
  </si>
  <si>
    <t>11</t>
  </si>
  <si>
    <t>had ship maneuver</t>
  </si>
  <si>
    <t>L5033888</t>
  </si>
  <si>
    <t>20160221234708</t>
  </si>
  <si>
    <t>G-IV comparison</t>
  </si>
  <si>
    <t>L5033835</t>
  </si>
  <si>
    <t>on station 9N 140W</t>
  </si>
  <si>
    <t>20160222050817</t>
  </si>
  <si>
    <t>L5033873</t>
  </si>
  <si>
    <t>20160222081028</t>
  </si>
  <si>
    <t>on station</t>
  </si>
  <si>
    <t>L5033895</t>
  </si>
  <si>
    <t>20160222111225</t>
  </si>
  <si>
    <t>20160222141301</t>
  </si>
  <si>
    <t>L5033862</t>
  </si>
  <si>
    <t>on station Poor winds GPS issues</t>
  </si>
  <si>
    <t>L5033889</t>
  </si>
  <si>
    <t>20160222201443</t>
  </si>
  <si>
    <t>circling buoy</t>
  </si>
  <si>
    <t>L5043526</t>
  </si>
  <si>
    <t>20160222231547</t>
  </si>
  <si>
    <t>12+</t>
  </si>
  <si>
    <t>13</t>
  </si>
  <si>
    <t>14</t>
  </si>
  <si>
    <t>15</t>
  </si>
  <si>
    <t>on way to 7N</t>
  </si>
  <si>
    <t>L5023278</t>
  </si>
  <si>
    <t>20160223021125</t>
  </si>
  <si>
    <t>had to reboot SPS several times before local SV.</t>
  </si>
  <si>
    <t>L5033853</t>
  </si>
  <si>
    <t>20160222181544</t>
  </si>
  <si>
    <t>L5043566</t>
  </si>
  <si>
    <t>20160223051242</t>
  </si>
  <si>
    <t>int'm GPS</t>
  </si>
  <si>
    <t>L5023252</t>
  </si>
  <si>
    <t>20160223081232</t>
  </si>
  <si>
    <t>STRB ft. CTD cast</t>
  </si>
  <si>
    <t>L5043650</t>
  </si>
  <si>
    <t>L5133363</t>
  </si>
  <si>
    <t>20160223111524</t>
  </si>
  <si>
    <t>20160223142422</t>
  </si>
  <si>
    <t>L5113185</t>
  </si>
  <si>
    <t>no GPS/winds</t>
  </si>
  <si>
    <r>
      <t xml:space="preserve">ran without GPS </t>
    </r>
    <r>
      <rPr>
        <sz val="10"/>
        <rFont val="Arial"/>
        <family val="2"/>
      </rPr>
      <t>Failed</t>
    </r>
  </si>
  <si>
    <t>L5133382</t>
  </si>
  <si>
    <t>L5043418</t>
  </si>
  <si>
    <t>SPS220 issues</t>
  </si>
  <si>
    <t>L5033894</t>
  </si>
  <si>
    <t>Trying GPS again.</t>
  </si>
  <si>
    <t>L5033871</t>
  </si>
  <si>
    <t>L5023759</t>
  </si>
  <si>
    <t>20160224050914</t>
  </si>
  <si>
    <t>stopped manually</t>
  </si>
  <si>
    <t>This table is information about when we were having issues with the SPS220 and Dan said we should manually start launches.</t>
  </si>
  <si>
    <t>Chris discovered a few launches later that when we reprocessed these launches it produced flags for the RH.</t>
  </si>
  <si>
    <t>The times on the original .dc3db files was the time the manual button was pushed. When you reprocess with Auto and Archive the</t>
  </si>
  <si>
    <t>L5033896</t>
  </si>
  <si>
    <t>20160224105954</t>
  </si>
  <si>
    <t>20160224080647</t>
  </si>
  <si>
    <t>L5033893</t>
  </si>
  <si>
    <t>20160224142326</t>
  </si>
  <si>
    <t>16-2</t>
  </si>
  <si>
    <t>Auto start</t>
  </si>
  <si>
    <t>20160224110710</t>
  </si>
  <si>
    <t>data file it now puts the real launch time.</t>
  </si>
  <si>
    <t>L5033892</t>
  </si>
  <si>
    <t>Auto start  Bad RH</t>
  </si>
  <si>
    <t>20160224171127</t>
  </si>
  <si>
    <t>Manual start</t>
  </si>
  <si>
    <t>x</t>
  </si>
  <si>
    <t>20160223171831</t>
  </si>
  <si>
    <t>16-17</t>
  </si>
  <si>
    <t>SPS220 error again no relaunch</t>
  </si>
  <si>
    <t>20160223201031</t>
  </si>
  <si>
    <t>20160223231616</t>
  </si>
  <si>
    <t>20160223171337</t>
  </si>
  <si>
    <t>20160223171832</t>
  </si>
  <si>
    <t>20160223200524</t>
  </si>
  <si>
    <t>20160223230926</t>
  </si>
  <si>
    <t>20160224021026</t>
  </si>
  <si>
    <t>20160224020535</t>
  </si>
  <si>
    <t>20160224051529</t>
  </si>
  <si>
    <t>Manual launch  winds</t>
  </si>
  <si>
    <t>20160224081254</t>
  </si>
  <si>
    <t>Failed</t>
  </si>
  <si>
    <t>17</t>
  </si>
  <si>
    <t>L5033880</t>
  </si>
  <si>
    <t>No 00Z No Winds</t>
  </si>
  <si>
    <t>20</t>
  </si>
  <si>
    <t>20160224021312</t>
  </si>
  <si>
    <t>It was determined that when reprocessing we should click on Auto start so the processing began when the balloon actually went up</t>
  </si>
  <si>
    <t>and not when we pushed the manual button.</t>
  </si>
  <si>
    <t>20160224020829</t>
  </si>
  <si>
    <t>Manual launch no winds</t>
  </si>
  <si>
    <t>L5033891</t>
  </si>
  <si>
    <t>No winds</t>
  </si>
  <si>
    <t>L5033850</t>
  </si>
  <si>
    <t>20160225051409</t>
  </si>
  <si>
    <t>20160225082028</t>
  </si>
  <si>
    <t>No Winds</t>
  </si>
  <si>
    <t>L5033865</t>
  </si>
  <si>
    <t>20160225110118</t>
  </si>
  <si>
    <t>20160225110647</t>
  </si>
  <si>
    <t>20160225050844</t>
  </si>
  <si>
    <t>20160225081450</t>
  </si>
  <si>
    <t>18</t>
  </si>
  <si>
    <t>19</t>
  </si>
  <si>
    <t>20160225140223</t>
  </si>
  <si>
    <t>20160225140818</t>
  </si>
  <si>
    <t>20160225163836</t>
  </si>
  <si>
    <t>6.2</t>
  </si>
  <si>
    <t>L5033867</t>
  </si>
  <si>
    <t>L5033866</t>
  </si>
  <si>
    <t>21</t>
  </si>
  <si>
    <t>20160225164420</t>
  </si>
  <si>
    <t>5.05</t>
  </si>
  <si>
    <t>L5033898</t>
  </si>
  <si>
    <t>20160225201716</t>
  </si>
  <si>
    <t>Winds again</t>
  </si>
  <si>
    <t>Manual Launch winds</t>
  </si>
  <si>
    <t>20160225202152</t>
  </si>
  <si>
    <t>5.4</t>
  </si>
  <si>
    <t>L5033807</t>
  </si>
  <si>
    <t>20160226020701</t>
  </si>
  <si>
    <t>20160226021322</t>
  </si>
  <si>
    <t>4.1</t>
  </si>
  <si>
    <t>L5033877</t>
  </si>
  <si>
    <t>20160226050400</t>
  </si>
  <si>
    <t>L5033816</t>
  </si>
  <si>
    <t>20160226050941</t>
  </si>
  <si>
    <t>L5033808</t>
  </si>
  <si>
    <t>20160226080754</t>
  </si>
  <si>
    <t>4.3</t>
  </si>
  <si>
    <t>20160226111116</t>
  </si>
  <si>
    <t>5.3</t>
  </si>
  <si>
    <t>Manual</t>
  </si>
  <si>
    <t>L5013849</t>
  </si>
  <si>
    <t>20160226080228</t>
  </si>
  <si>
    <t>20160226110742</t>
  </si>
  <si>
    <t>20160226140144</t>
  </si>
  <si>
    <t>20160226140754</t>
  </si>
  <si>
    <t>4.88</t>
  </si>
  <si>
    <t>L5033796</t>
  </si>
  <si>
    <t>20160226165753</t>
  </si>
  <si>
    <t>Lat</t>
  </si>
  <si>
    <t>Lon</t>
  </si>
  <si>
    <t>140W</t>
  </si>
  <si>
    <t>0.105N</t>
  </si>
  <si>
    <t>20160226170403</t>
  </si>
  <si>
    <t>5.75 N</t>
  </si>
  <si>
    <t>140 W</t>
  </si>
  <si>
    <t>5.19 N</t>
  </si>
  <si>
    <t>5.02 N</t>
  </si>
  <si>
    <t>139.98 W</t>
  </si>
  <si>
    <t>5.009 N</t>
  </si>
  <si>
    <t>139.993 W</t>
  </si>
  <si>
    <t>4.95 N</t>
  </si>
  <si>
    <t>139.988 W</t>
  </si>
  <si>
    <t>4.411 N</t>
  </si>
  <si>
    <t>139.986 W</t>
  </si>
  <si>
    <t>4.0 N</t>
  </si>
  <si>
    <t>139.985 W</t>
  </si>
  <si>
    <t>1.98 N</t>
  </si>
  <si>
    <t>140.03 W</t>
  </si>
  <si>
    <t>1.97 N</t>
  </si>
  <si>
    <t>140.019 W</t>
  </si>
  <si>
    <t>1.89 N</t>
  </si>
  <si>
    <t>140.15 W</t>
  </si>
  <si>
    <t>1.9 N</t>
  </si>
  <si>
    <t>139.92 W</t>
  </si>
  <si>
    <t>140.07 W</t>
  </si>
  <si>
    <t>1.96 N</t>
  </si>
  <si>
    <t>140.006 W</t>
  </si>
  <si>
    <t>.01 N</t>
  </si>
  <si>
    <t>139.96 W</t>
  </si>
  <si>
    <t>L5033801</t>
  </si>
  <si>
    <t>20160226200652</t>
  </si>
  <si>
    <t>5.2</t>
  </si>
  <si>
    <t>.015 N</t>
  </si>
  <si>
    <t>139.953 W</t>
  </si>
  <si>
    <t>20160226201110</t>
  </si>
  <si>
    <t>5.6</t>
  </si>
  <si>
    <t>L5013844</t>
  </si>
  <si>
    <t>.03 N</t>
  </si>
  <si>
    <t>139.99 W</t>
  </si>
  <si>
    <t>Reprocessed UTC</t>
  </si>
  <si>
    <t>Raw UTC</t>
  </si>
  <si>
    <t>.57 N</t>
  </si>
  <si>
    <t>.99 N</t>
  </si>
  <si>
    <t>1.34 N</t>
  </si>
  <si>
    <t>139.97 W</t>
  </si>
  <si>
    <t>139.74 W</t>
  </si>
  <si>
    <t>Rate</t>
  </si>
  <si>
    <t xml:space="preserve"> Rate</t>
  </si>
  <si>
    <t>No errors just stopped 915s after manual start</t>
  </si>
  <si>
    <t>No errors just stopped 600s after manual start</t>
  </si>
  <si>
    <t>22</t>
  </si>
  <si>
    <t>21-22</t>
  </si>
  <si>
    <t>20-21</t>
  </si>
  <si>
    <t>20160226230647</t>
  </si>
  <si>
    <t>20160226230130</t>
  </si>
  <si>
    <t>4.8</t>
  </si>
  <si>
    <t>139.95 W</t>
  </si>
  <si>
    <t>20160227021743</t>
  </si>
  <si>
    <t>6.</t>
  </si>
  <si>
    <t>L5033802</t>
  </si>
  <si>
    <t>.035 N</t>
  </si>
  <si>
    <t>20160227051047</t>
  </si>
  <si>
    <t>4.65</t>
  </si>
  <si>
    <t>L5033881</t>
  </si>
  <si>
    <t>Raining</t>
  </si>
  <si>
    <t>20160227081126</t>
  </si>
  <si>
    <t>L5033805</t>
  </si>
  <si>
    <t>20160227111447</t>
  </si>
  <si>
    <t>139.52 W</t>
  </si>
  <si>
    <t>23</t>
  </si>
  <si>
    <t>.045 N</t>
  </si>
  <si>
    <t>139.12 W</t>
  </si>
  <si>
    <t>20160227141052</t>
  </si>
  <si>
    <t>.033 N</t>
  </si>
  <si>
    <t>140.026 W</t>
  </si>
  <si>
    <t>Auto</t>
  </si>
  <si>
    <t>L5013542</t>
  </si>
  <si>
    <t>20160227173106</t>
  </si>
  <si>
    <t>.02 N</t>
  </si>
  <si>
    <t>Auto Launch</t>
  </si>
  <si>
    <t>Delayed</t>
  </si>
  <si>
    <t>20160227173646</t>
  </si>
  <si>
    <t>5.5</t>
  </si>
  <si>
    <t>L5013683</t>
  </si>
  <si>
    <t>140.029 W</t>
  </si>
  <si>
    <t>20160227201714</t>
  </si>
  <si>
    <t>L5013573</t>
  </si>
  <si>
    <t>Winds!!</t>
  </si>
  <si>
    <t>23-24</t>
  </si>
  <si>
    <t>24</t>
  </si>
  <si>
    <t>20160227231729</t>
  </si>
  <si>
    <t>5.25</t>
  </si>
  <si>
    <t>L5033890</t>
  </si>
  <si>
    <t>20160228021214</t>
  </si>
  <si>
    <t>4.78</t>
  </si>
  <si>
    <t xml:space="preserve">Winds!! </t>
  </si>
  <si>
    <t>L5033879</t>
  </si>
  <si>
    <t>20160228051213</t>
  </si>
  <si>
    <t>L5013894</t>
  </si>
  <si>
    <t>20160228081902</t>
  </si>
  <si>
    <t>Winds</t>
  </si>
  <si>
    <t>L5033883</t>
  </si>
  <si>
    <t>20160228111631</t>
  </si>
  <si>
    <t>25</t>
  </si>
  <si>
    <t>L5033886</t>
  </si>
  <si>
    <t>20160228141233</t>
  </si>
  <si>
    <t>24-25</t>
  </si>
  <si>
    <t>L5033882</t>
  </si>
  <si>
    <t>20160228170305</t>
  </si>
  <si>
    <t>Winds/200gm</t>
  </si>
  <si>
    <t>L5033878</t>
  </si>
  <si>
    <t>20160228201013</t>
  </si>
  <si>
    <t>L5033876</t>
  </si>
  <si>
    <t>20160228231311</t>
  </si>
  <si>
    <t>Killed program accidentally</t>
  </si>
  <si>
    <t>L5013557</t>
  </si>
  <si>
    <t>20160226234606</t>
  </si>
  <si>
    <t>26</t>
  </si>
  <si>
    <t>L5013528</t>
  </si>
  <si>
    <t>20160229021026</t>
  </si>
  <si>
    <t>26-27</t>
  </si>
  <si>
    <t>no data</t>
  </si>
  <si>
    <t>L5013563</t>
  </si>
  <si>
    <t>20160229050935</t>
  </si>
  <si>
    <t>L5013558</t>
  </si>
  <si>
    <t>20160229081446</t>
  </si>
  <si>
    <t>3.8 S</t>
  </si>
  <si>
    <t>L5013531</t>
  </si>
  <si>
    <t>20160229112130</t>
  </si>
  <si>
    <t>20160229111727</t>
  </si>
  <si>
    <t>Manual Launch No Winds</t>
  </si>
  <si>
    <t>27</t>
  </si>
  <si>
    <t>27-28</t>
  </si>
  <si>
    <t>L5013567</t>
  </si>
  <si>
    <t>20160229141408</t>
  </si>
  <si>
    <t>5.75</t>
  </si>
  <si>
    <t>L5013570</t>
  </si>
  <si>
    <t>20160229170919</t>
  </si>
  <si>
    <t>28</t>
  </si>
  <si>
    <t>UPP210A error</t>
  </si>
  <si>
    <t>L5013564</t>
  </si>
  <si>
    <t>20160229202750</t>
  </si>
  <si>
    <t>L5013569</t>
  </si>
  <si>
    <t>20160229232850</t>
  </si>
  <si>
    <t>29</t>
  </si>
  <si>
    <t>L5013526</t>
  </si>
  <si>
    <t>20160301021625</t>
  </si>
  <si>
    <t>4.95</t>
  </si>
  <si>
    <t>L5013568</t>
  </si>
  <si>
    <t>20160301050644</t>
  </si>
  <si>
    <t>L5013530</t>
  </si>
  <si>
    <t>20160301081404</t>
  </si>
  <si>
    <t>4.85</t>
  </si>
  <si>
    <t>L5013571</t>
  </si>
  <si>
    <t>20160301111717</t>
  </si>
  <si>
    <t>4.6</t>
  </si>
  <si>
    <t>29-30</t>
  </si>
  <si>
    <t>L5013561</t>
  </si>
  <si>
    <t>20160301141712</t>
  </si>
  <si>
    <t>30</t>
  </si>
  <si>
    <t>4.5</t>
  </si>
  <si>
    <t>L5013533</t>
  </si>
  <si>
    <t>20160301171219</t>
  </si>
  <si>
    <t>31</t>
  </si>
  <si>
    <t>32</t>
  </si>
  <si>
    <t>5.8</t>
  </si>
  <si>
    <t>L5013527</t>
  </si>
  <si>
    <t>20160301201606</t>
  </si>
  <si>
    <t>30-31</t>
  </si>
  <si>
    <t>5.1</t>
  </si>
  <si>
    <t>L5013535</t>
  </si>
  <si>
    <t>20160301231530</t>
  </si>
  <si>
    <t>L5013548</t>
  </si>
  <si>
    <t>Winds 200 gm</t>
  </si>
  <si>
    <t>2 bal/sondes</t>
  </si>
  <si>
    <t>20160302022102</t>
  </si>
  <si>
    <t>3.55</t>
  </si>
  <si>
    <t>L5013534</t>
  </si>
  <si>
    <t>20160302050655</t>
  </si>
  <si>
    <t>31-32</t>
  </si>
  <si>
    <t>L5023129</t>
  </si>
  <si>
    <t>20160302081938</t>
  </si>
  <si>
    <t>L5013532</t>
  </si>
  <si>
    <t>20160302111446</t>
  </si>
  <si>
    <t>L5023165</t>
  </si>
  <si>
    <t>20160302141319</t>
  </si>
  <si>
    <t>5.7</t>
  </si>
  <si>
    <t>L5023185</t>
  </si>
  <si>
    <t>32-33</t>
  </si>
  <si>
    <t>20160302172136</t>
  </si>
  <si>
    <t>33</t>
  </si>
  <si>
    <t>L5023173</t>
  </si>
  <si>
    <t>20160302202012</t>
  </si>
  <si>
    <t>20160302231723</t>
  </si>
  <si>
    <t>4.99</t>
  </si>
  <si>
    <t>L5023139</t>
  </si>
  <si>
    <t>L5023142</t>
  </si>
  <si>
    <t>20160303021801</t>
  </si>
  <si>
    <t>6.7</t>
  </si>
  <si>
    <t>first sonde (5023196) failed RH in GC. Discarded.</t>
  </si>
  <si>
    <t>L5023144</t>
  </si>
  <si>
    <t>20160303051001</t>
  </si>
  <si>
    <t>33-34</t>
  </si>
  <si>
    <t>20160303081131</t>
  </si>
  <si>
    <t>L5023143</t>
  </si>
  <si>
    <t>20160303110930</t>
  </si>
  <si>
    <t>4.76</t>
  </si>
  <si>
    <t>34</t>
  </si>
  <si>
    <t>L5023191</t>
  </si>
  <si>
    <t>20160303140938</t>
  </si>
  <si>
    <t>L5033631</t>
  </si>
  <si>
    <t>20160303171411</t>
  </si>
  <si>
    <t>35</t>
  </si>
  <si>
    <t>Bad satellite geometry no winds calculated??</t>
  </si>
  <si>
    <t>L5033502</t>
  </si>
  <si>
    <t>20160303201217</t>
  </si>
  <si>
    <t>4.7</t>
  </si>
  <si>
    <t>L5033625</t>
  </si>
  <si>
    <t>20160303231929</t>
  </si>
  <si>
    <t>L5033624</t>
  </si>
  <si>
    <t>=SUM(D252016)</t>
  </si>
  <si>
    <t>20160304021208</t>
  </si>
  <si>
    <t>35-36</t>
  </si>
  <si>
    <t>36</t>
  </si>
  <si>
    <t>4.9</t>
  </si>
  <si>
    <t>20160304050829</t>
  </si>
  <si>
    <t>L5033622</t>
  </si>
  <si>
    <t>20160304081308</t>
  </si>
  <si>
    <t>L5033638</t>
  </si>
  <si>
    <t>20160304111501</t>
  </si>
  <si>
    <t>L5033630</t>
  </si>
  <si>
    <t>20160304141221</t>
  </si>
  <si>
    <t>37</t>
  </si>
  <si>
    <t>L5133381</t>
  </si>
  <si>
    <t>20160304171240</t>
  </si>
  <si>
    <t>L5133376</t>
  </si>
  <si>
    <t>20160304202025</t>
  </si>
  <si>
    <t>L5133249</t>
  </si>
  <si>
    <t>20160304231522</t>
  </si>
  <si>
    <t>L513043</t>
  </si>
  <si>
    <t>20160305021445</t>
  </si>
  <si>
    <t>L5113250</t>
  </si>
  <si>
    <t>20160305050520</t>
  </si>
  <si>
    <t>38</t>
  </si>
  <si>
    <t>L5133240</t>
  </si>
  <si>
    <t>20160305081223</t>
  </si>
  <si>
    <t>L514293</t>
  </si>
  <si>
    <t>20160305111055</t>
  </si>
  <si>
    <t>4.68</t>
  </si>
  <si>
    <t>L5053502</t>
  </si>
  <si>
    <t>20160305141542</t>
  </si>
  <si>
    <t>38-39</t>
  </si>
  <si>
    <t>39</t>
  </si>
  <si>
    <t>L5133262</t>
  </si>
  <si>
    <t>20160305171758</t>
  </si>
  <si>
    <t>unwinder stuck</t>
  </si>
  <si>
    <t>L5023264</t>
  </si>
  <si>
    <t>20160305202556</t>
  </si>
  <si>
    <t>L5133308</t>
  </si>
  <si>
    <t>20160305231134</t>
  </si>
  <si>
    <t>L5143136</t>
  </si>
  <si>
    <t>20160306021249</t>
  </si>
  <si>
    <t>39-40</t>
  </si>
  <si>
    <t>L5133294</t>
  </si>
  <si>
    <t>20160306050632</t>
  </si>
  <si>
    <t>40</t>
  </si>
  <si>
    <t>L5023417</t>
  </si>
  <si>
    <t>20160306081138</t>
  </si>
  <si>
    <t>L5013724</t>
  </si>
  <si>
    <t>20160306111616</t>
  </si>
  <si>
    <t>40-41</t>
  </si>
  <si>
    <t>41</t>
  </si>
  <si>
    <t>4.96</t>
  </si>
  <si>
    <t>L5143176</t>
  </si>
  <si>
    <t>20160306142735</t>
  </si>
  <si>
    <t>2 sondes/balloons</t>
  </si>
  <si>
    <t>42</t>
  </si>
  <si>
    <t>43</t>
  </si>
  <si>
    <t>44</t>
  </si>
  <si>
    <t>45</t>
  </si>
  <si>
    <t>46</t>
  </si>
  <si>
    <t>47</t>
  </si>
  <si>
    <t>L5143191</t>
  </si>
  <si>
    <t>L5143003</t>
  </si>
  <si>
    <t>20160306202400</t>
  </si>
  <si>
    <t>L5143190</t>
  </si>
  <si>
    <t>20160306231504</t>
  </si>
  <si>
    <t>L5143046</t>
  </si>
  <si>
    <t>20160307021041</t>
  </si>
  <si>
    <t>42-43</t>
  </si>
  <si>
    <t>L5143177</t>
  </si>
  <si>
    <t>20160307051412</t>
  </si>
  <si>
    <t>L4943245</t>
  </si>
  <si>
    <t>20160307081321</t>
  </si>
  <si>
    <t>L5143318</t>
  </si>
  <si>
    <t>20160307111048</t>
  </si>
  <si>
    <t>4.86</t>
  </si>
  <si>
    <t>L5143182</t>
  </si>
  <si>
    <t>20160307140956</t>
  </si>
  <si>
    <t>L5143166</t>
  </si>
  <si>
    <t>20160307171738</t>
  </si>
  <si>
    <t>43-44</t>
  </si>
  <si>
    <t>L5143180</t>
  </si>
  <si>
    <t>20160307200533</t>
  </si>
  <si>
    <t>L5143178</t>
  </si>
  <si>
    <t>20160307231017</t>
  </si>
  <si>
    <t>L5143189</t>
  </si>
  <si>
    <t>20160308020817</t>
  </si>
  <si>
    <t>44-45</t>
  </si>
  <si>
    <t>L5043208</t>
  </si>
  <si>
    <t>20160308051338</t>
  </si>
  <si>
    <t>L5143179</t>
  </si>
  <si>
    <t>20160308081202</t>
  </si>
  <si>
    <t>3.7</t>
  </si>
  <si>
    <t>L5143258</t>
  </si>
  <si>
    <t>20160308111207</t>
  </si>
  <si>
    <t>4.48</t>
  </si>
  <si>
    <t>L5143317</t>
  </si>
  <si>
    <t>20160308141454</t>
  </si>
  <si>
    <t>L5143289</t>
  </si>
  <si>
    <t>20160308172305</t>
  </si>
  <si>
    <t>L5143315</t>
  </si>
  <si>
    <t>Bad GPS 2 sonde</t>
  </si>
  <si>
    <t>20160308202814</t>
  </si>
  <si>
    <t>L15433-3</t>
  </si>
  <si>
    <t>20160308231548</t>
  </si>
  <si>
    <t>L5143304</t>
  </si>
  <si>
    <t>20160309021459</t>
  </si>
  <si>
    <t>46-47</t>
  </si>
  <si>
    <t>L5143307</t>
  </si>
  <si>
    <t>20160309050508</t>
  </si>
  <si>
    <t>L5013884</t>
  </si>
  <si>
    <t>20160309083313</t>
  </si>
  <si>
    <t>47-48</t>
  </si>
  <si>
    <t>L5013889</t>
  </si>
  <si>
    <t>20160309112456</t>
  </si>
  <si>
    <t>48-49</t>
  </si>
  <si>
    <t>L5143297</t>
  </si>
  <si>
    <t>L5013883</t>
  </si>
  <si>
    <t>48</t>
  </si>
  <si>
    <t>49</t>
  </si>
  <si>
    <t>L5013885</t>
  </si>
  <si>
    <t>L5013896</t>
  </si>
  <si>
    <t>20160309201506</t>
  </si>
  <si>
    <t>2 sondes, 3 balloons</t>
  </si>
  <si>
    <t>2 sondes 2 balloons</t>
  </si>
  <si>
    <t>L5013868</t>
  </si>
  <si>
    <t>20160309141432</t>
  </si>
  <si>
    <t>20160309171603</t>
  </si>
  <si>
    <t>50</t>
  </si>
  <si>
    <t>L5013862</t>
  </si>
  <si>
    <t>20160309231222</t>
  </si>
  <si>
    <t>4,8</t>
  </si>
  <si>
    <t>L5013895</t>
  </si>
  <si>
    <t>20160310021025</t>
  </si>
  <si>
    <t>L5013513</t>
  </si>
  <si>
    <t>20160310050431</t>
  </si>
  <si>
    <t>L5013877</t>
  </si>
  <si>
    <t>50-51</t>
  </si>
  <si>
    <t>51</t>
  </si>
  <si>
    <t>L5033848</t>
  </si>
  <si>
    <t>L5013522</t>
  </si>
  <si>
    <t>20160310111205</t>
  </si>
  <si>
    <t>2 balloons 2 sondes</t>
  </si>
  <si>
    <t>20160310142724</t>
  </si>
  <si>
    <t>51-52</t>
  </si>
  <si>
    <t>L5033845</t>
  </si>
  <si>
    <t>20160310171447</t>
  </si>
  <si>
    <t>20160310200559</t>
  </si>
  <si>
    <t>52</t>
  </si>
  <si>
    <t>L5013529</t>
  </si>
  <si>
    <t>20160310230906</t>
  </si>
  <si>
    <t>L5033847</t>
  </si>
  <si>
    <t>20160311020311</t>
  </si>
  <si>
    <t>52-53</t>
  </si>
  <si>
    <t>53</t>
  </si>
  <si>
    <t>L5013519</t>
  </si>
  <si>
    <t>20160311051037</t>
  </si>
  <si>
    <t>L5033843</t>
  </si>
  <si>
    <t>20160311081047</t>
  </si>
  <si>
    <t>L5013537</t>
  </si>
  <si>
    <t>20160311111248</t>
  </si>
  <si>
    <t>53-54</t>
  </si>
  <si>
    <t>L5013575</t>
  </si>
  <si>
    <t>20160311141452</t>
  </si>
  <si>
    <t>L5013574</t>
  </si>
  <si>
    <t>54</t>
  </si>
  <si>
    <t>20160311171252</t>
  </si>
  <si>
    <t>Didn't write down</t>
  </si>
  <si>
    <t>Time UTC</t>
  </si>
  <si>
    <t>Time Local</t>
  </si>
  <si>
    <t>Date (UTC)</t>
  </si>
  <si>
    <t>Date Local</t>
  </si>
  <si>
    <t>Prep Local</t>
  </si>
  <si>
    <t>F</t>
  </si>
  <si>
    <t>Sat</t>
  </si>
  <si>
    <t>Sun</t>
  </si>
  <si>
    <t>T</t>
  </si>
  <si>
    <t>W</t>
  </si>
  <si>
    <t>Th</t>
  </si>
  <si>
    <t>M</t>
  </si>
  <si>
    <t>L5013545</t>
  </si>
  <si>
    <t>20160311201718</t>
  </si>
  <si>
    <t>L5013555</t>
  </si>
  <si>
    <t>54-55</t>
  </si>
  <si>
    <t>20160312231120</t>
  </si>
  <si>
    <t>20160312020852</t>
  </si>
  <si>
    <t>55</t>
  </si>
  <si>
    <t>6.1</t>
  </si>
  <si>
    <t>L5013572</t>
  </si>
  <si>
    <t>20160312050943</t>
  </si>
  <si>
    <t>L5013576</t>
  </si>
  <si>
    <t>20160312081107</t>
  </si>
  <si>
    <t>L5013869</t>
  </si>
  <si>
    <t>20160312111341</t>
  </si>
  <si>
    <t>55-56</t>
  </si>
  <si>
    <t>L5013855</t>
  </si>
  <si>
    <t>56</t>
  </si>
  <si>
    <t>20160312140951</t>
  </si>
  <si>
    <t>L5013880</t>
  </si>
  <si>
    <t>20160312171053</t>
  </si>
  <si>
    <t>L5013846</t>
  </si>
  <si>
    <t>20160312200751</t>
  </si>
  <si>
    <t>57</t>
  </si>
  <si>
    <t>L5013870</t>
  </si>
  <si>
    <t>20160312231015</t>
  </si>
  <si>
    <t>L5033833</t>
  </si>
  <si>
    <t>2 balloons 1 sonde</t>
  </si>
  <si>
    <t>L5043040</t>
  </si>
  <si>
    <t>20160313112308</t>
  </si>
  <si>
    <t>57-58</t>
  </si>
  <si>
    <t>L5023761</t>
  </si>
  <si>
    <t>20160313171259</t>
  </si>
  <si>
    <t>L5043032</t>
  </si>
  <si>
    <t>20160313230834</t>
  </si>
  <si>
    <t>L5043064</t>
  </si>
  <si>
    <t>string broke</t>
  </si>
  <si>
    <t>L5013556</t>
  </si>
  <si>
    <t>20160314111843</t>
  </si>
  <si>
    <t>58-59</t>
  </si>
  <si>
    <t>L5013559</t>
  </si>
  <si>
    <t>20160314171233</t>
  </si>
  <si>
    <t>L5013874</t>
  </si>
  <si>
    <t>20160314230910</t>
  </si>
  <si>
    <t>59-60</t>
  </si>
  <si>
    <t>L5013566</t>
  </si>
  <si>
    <t>hit A-Frame!</t>
  </si>
  <si>
    <t>L5013879</t>
  </si>
  <si>
    <t>20160315111256</t>
  </si>
  <si>
    <t>L5033518</t>
  </si>
  <si>
    <t>20160315170752</t>
  </si>
  <si>
    <t>L5013871</t>
  </si>
  <si>
    <t>20160315231115</t>
  </si>
  <si>
    <t>In Mexican waters: CO confirms clearance to launch radiosondes</t>
  </si>
  <si>
    <t>L5013521</t>
  </si>
  <si>
    <t>20160316050806</t>
  </si>
  <si>
    <t>L5033442</t>
  </si>
  <si>
    <t>20160316111039</t>
  </si>
  <si>
    <t>L5033434</t>
  </si>
  <si>
    <t>20160316171707</t>
  </si>
  <si>
    <t>Shellback ceremony/SPS220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</si>
</sst>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2" xfId="0" applyFont="1" applyBorder="1"/>
    <xf numFmtId="164" fontId="3" fillId="0" borderId="3" xfId="0" applyNumberFormat="1" applyFont="1" applyBorder="1"/>
    <xf numFmtId="0" fontId="3" fillId="0" borderId="3" xfId="0" applyFont="1" applyBorder="1"/>
    <xf numFmtId="49" fontId="3" fillId="0" borderId="3" xfId="0" applyNumberFormat="1" applyFont="1" applyBorder="1"/>
    <xf numFmtId="2" fontId="3" fillId="0" borderId="3" xfId="0" applyNumberFormat="1" applyFont="1" applyBorder="1"/>
    <xf numFmtId="0" fontId="3" fillId="0" borderId="4" xfId="0" applyFont="1" applyBorder="1"/>
    <xf numFmtId="0" fontId="4" fillId="0" borderId="0" xfId="0" applyFont="1"/>
    <xf numFmtId="49" fontId="4" fillId="0" borderId="0" xfId="0" applyNumberFormat="1" applyFont="1" applyFill="1" applyBorder="1"/>
    <xf numFmtId="0" fontId="4" fillId="0" borderId="5" xfId="0" applyFont="1" applyBorder="1"/>
    <xf numFmtId="164" fontId="4" fillId="0" borderId="1" xfId="0" applyNumberFormat="1" applyFont="1" applyBorder="1"/>
    <xf numFmtId="0" fontId="4" fillId="0" borderId="1" xfId="0" applyFont="1" applyBorder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0" fontId="4" fillId="0" borderId="6" xfId="0" applyFont="1" applyBorder="1"/>
    <xf numFmtId="0" fontId="4" fillId="2" borderId="6" xfId="0" applyFont="1" applyFill="1" applyBorder="1"/>
    <xf numFmtId="49" fontId="4" fillId="0" borderId="0" xfId="0" applyNumberFormat="1" applyFont="1"/>
    <xf numFmtId="0" fontId="4" fillId="3" borderId="5" xfId="0" applyFont="1" applyFill="1" applyBorder="1"/>
    <xf numFmtId="164" fontId="4" fillId="3" borderId="1" xfId="0" applyNumberFormat="1" applyFont="1" applyFill="1" applyBorder="1"/>
    <xf numFmtId="0" fontId="4" fillId="3" borderId="1" xfId="0" applyFont="1" applyFill="1" applyBorder="1"/>
    <xf numFmtId="49" fontId="4" fillId="3" borderId="1" xfId="0" applyNumberFormat="1" applyFont="1" applyFill="1" applyBorder="1"/>
    <xf numFmtId="2" fontId="4" fillId="3" borderId="1" xfId="0" applyNumberFormat="1" applyFont="1" applyFill="1" applyBorder="1"/>
    <xf numFmtId="0" fontId="4" fillId="3" borderId="6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164" fontId="4" fillId="0" borderId="8" xfId="0" applyNumberFormat="1" applyFont="1" applyBorder="1"/>
    <xf numFmtId="0" fontId="4" fillId="0" borderId="8" xfId="0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horizontal="right"/>
    </xf>
    <xf numFmtId="2" fontId="4" fillId="0" borderId="8" xfId="0" applyNumberFormat="1" applyFont="1" applyBorder="1"/>
    <xf numFmtId="0" fontId="4" fillId="0" borderId="9" xfId="0" applyFont="1" applyBorder="1"/>
    <xf numFmtId="164" fontId="4" fillId="0" borderId="0" xfId="0" applyNumberFormat="1" applyFont="1"/>
    <xf numFmtId="2" fontId="4" fillId="0" borderId="0" xfId="0" applyNumberFormat="1" applyFont="1"/>
    <xf numFmtId="0" fontId="3" fillId="0" borderId="0" xfId="0" applyFont="1"/>
    <xf numFmtId="164" fontId="3" fillId="0" borderId="0" xfId="0" applyNumberFormat="1" applyFont="1"/>
    <xf numFmtId="4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0" fontId="4" fillId="0" borderId="1" xfId="0" applyFont="1" applyFill="1" applyBorder="1"/>
    <xf numFmtId="0" fontId="4" fillId="2" borderId="11" xfId="0" applyFont="1" applyFill="1" applyBorder="1"/>
    <xf numFmtId="164" fontId="4" fillId="2" borderId="10" xfId="0" applyNumberFormat="1" applyFont="1" applyFill="1" applyBorder="1"/>
    <xf numFmtId="0" fontId="4" fillId="2" borderId="10" xfId="0" applyFont="1" applyFill="1" applyBorder="1"/>
    <xf numFmtId="2" fontId="4" fillId="2" borderId="10" xfId="0" applyNumberFormat="1" applyFont="1" applyFill="1" applyBorder="1"/>
    <xf numFmtId="0" fontId="4" fillId="2" borderId="12" xfId="0" applyFont="1" applyFill="1" applyBorder="1"/>
    <xf numFmtId="164" fontId="4" fillId="0" borderId="1" xfId="0" applyNumberFormat="1" applyFont="1" applyFill="1" applyBorder="1"/>
    <xf numFmtId="49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0" fontId="4" fillId="0" borderId="6" xfId="0" applyFont="1" applyFill="1" applyBorder="1"/>
    <xf numFmtId="0" fontId="4" fillId="0" borderId="1" xfId="0" applyFont="1" applyFill="1" applyBorder="1" applyAlignment="1">
      <alignment horizontal="right"/>
    </xf>
    <xf numFmtId="0" fontId="0" fillId="0" borderId="0" xfId="0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164" fontId="4" fillId="0" borderId="8" xfId="0" applyNumberFormat="1" applyFont="1" applyFill="1" applyBorder="1"/>
    <xf numFmtId="0" fontId="0" fillId="0" borderId="1" xfId="0" applyBorder="1"/>
    <xf numFmtId="0" fontId="0" fillId="0" borderId="6" xfId="0" applyBorder="1"/>
    <xf numFmtId="0" fontId="4" fillId="0" borderId="11" xfId="0" applyFont="1" applyBorder="1"/>
    <xf numFmtId="0" fontId="4" fillId="0" borderId="10" xfId="0" applyFont="1" applyBorder="1" applyAlignment="1">
      <alignment horizontal="centerContinuous"/>
    </xf>
    <xf numFmtId="0" fontId="4" fillId="0" borderId="10" xfId="0" applyFont="1" applyFill="1" applyBorder="1"/>
    <xf numFmtId="0" fontId="0" fillId="0" borderId="10" xfId="0" applyBorder="1"/>
    <xf numFmtId="0" fontId="0" fillId="0" borderId="12" xfId="0" applyBorder="1"/>
    <xf numFmtId="0" fontId="3" fillId="0" borderId="3" xfId="0" applyFont="1" applyBorder="1" applyAlignment="1">
      <alignment horizontal="centerContinuous"/>
    </xf>
    <xf numFmtId="164" fontId="3" fillId="0" borderId="3" xfId="0" applyNumberFormat="1" applyFont="1" applyBorder="1" applyAlignment="1">
      <alignment horizontal="centerContinuous"/>
    </xf>
    <xf numFmtId="164" fontId="4" fillId="0" borderId="10" xfId="0" applyNumberFormat="1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4" fontId="4" fillId="0" borderId="1" xfId="0" applyNumberFormat="1" applyFont="1" applyFill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49" fontId="3" fillId="0" borderId="3" xfId="0" applyNumberFormat="1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" xfId="0" applyNumberFormat="1" applyFont="1" applyBorder="1" applyAlignment="1">
      <alignment horizontal="centerContinuous"/>
    </xf>
    <xf numFmtId="49" fontId="4" fillId="0" borderId="1" xfId="0" applyNumberFormat="1" applyFont="1" applyFill="1" applyBorder="1" applyAlignment="1">
      <alignment horizontal="centerContinuous"/>
    </xf>
    <xf numFmtId="49" fontId="4" fillId="2" borderId="10" xfId="0" applyNumberFormat="1" applyFont="1" applyFill="1" applyBorder="1" applyAlignment="1">
      <alignment horizontal="centerContinuous"/>
    </xf>
    <xf numFmtId="49" fontId="4" fillId="3" borderId="1" xfId="0" applyNumberFormat="1" applyFont="1" applyFill="1" applyBorder="1" applyAlignment="1">
      <alignment horizontal="centerContinuous"/>
    </xf>
    <xf numFmtId="49" fontId="4" fillId="0" borderId="8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4" fillId="0" borderId="1" xfId="0" applyNumberFormat="1" applyFont="1" applyFill="1" applyBorder="1" applyAlignment="1">
      <alignment horizontal="centerContinuous" wrapText="1"/>
    </xf>
    <xf numFmtId="2" fontId="3" fillId="0" borderId="3" xfId="0" applyNumberFormat="1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4" fillId="0" borderId="13" xfId="0" applyFont="1" applyBorder="1"/>
    <xf numFmtId="0" fontId="4" fillId="0" borderId="0" xfId="0" applyFont="1" applyBorder="1"/>
    <xf numFmtId="164" fontId="0" fillId="0" borderId="0" xfId="0" applyNumberFormat="1" applyAlignment="1">
      <alignment horizontal="centerContinuous"/>
    </xf>
    <xf numFmtId="0" fontId="4" fillId="3" borderId="0" xfId="0" applyFont="1" applyFill="1"/>
    <xf numFmtId="49" fontId="4" fillId="3" borderId="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2" fontId="4" fillId="0" borderId="0" xfId="0" applyNumberFormat="1" applyFont="1" applyBorder="1"/>
    <xf numFmtId="2" fontId="4" fillId="3" borderId="0" xfId="0" applyNumberFormat="1" applyFont="1" applyFill="1" applyBorder="1"/>
    <xf numFmtId="0" fontId="5" fillId="4" borderId="14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4" fillId="0" borderId="15" xfId="0" applyFont="1" applyBorder="1"/>
    <xf numFmtId="164" fontId="4" fillId="0" borderId="16" xfId="0" applyNumberFormat="1" applyFont="1" applyFill="1" applyBorder="1"/>
    <xf numFmtId="0" fontId="4" fillId="0" borderId="16" xfId="0" applyFont="1" applyBorder="1"/>
    <xf numFmtId="49" fontId="4" fillId="0" borderId="16" xfId="0" applyNumberFormat="1" applyFont="1" applyBorder="1"/>
    <xf numFmtId="49" fontId="4" fillId="0" borderId="16" xfId="0" applyNumberFormat="1" applyFont="1" applyBorder="1" applyAlignment="1">
      <alignment horizontal="right"/>
    </xf>
    <xf numFmtId="0" fontId="0" fillId="0" borderId="17" xfId="0" applyBorder="1"/>
    <xf numFmtId="2" fontId="4" fillId="0" borderId="16" xfId="0" applyNumberFormat="1" applyFont="1" applyFill="1" applyBorder="1"/>
    <xf numFmtId="0" fontId="4" fillId="0" borderId="18" xfId="0" applyFont="1" applyBorder="1"/>
    <xf numFmtId="0" fontId="0" fillId="3" borderId="0" xfId="0" applyFill="1" applyBorder="1"/>
    <xf numFmtId="0" fontId="0" fillId="4" borderId="6" xfId="0" applyFill="1" applyBorder="1"/>
    <xf numFmtId="49" fontId="4" fillId="0" borderId="0" xfId="0" applyNumberFormat="1" applyFont="1" applyBorder="1"/>
    <xf numFmtId="14" fontId="0" fillId="0" borderId="1" xfId="0" applyNumberFormat="1" applyBorder="1"/>
    <xf numFmtId="20" fontId="0" fillId="0" borderId="1" xfId="0" applyNumberFormat="1" applyBorder="1"/>
    <xf numFmtId="20" fontId="0" fillId="0" borderId="1" xfId="0" applyNumberFormat="1" applyFill="1" applyBorder="1"/>
    <xf numFmtId="14" fontId="0" fillId="0" borderId="8" xfId="0" applyNumberFormat="1" applyBorder="1"/>
    <xf numFmtId="20" fontId="0" fillId="0" borderId="8" xfId="0" applyNumberFormat="1" applyBorder="1"/>
    <xf numFmtId="0" fontId="4" fillId="2" borderId="5" xfId="0" applyFont="1" applyFill="1" applyBorder="1"/>
    <xf numFmtId="14" fontId="0" fillId="2" borderId="1" xfId="0" applyNumberFormat="1" applyFill="1" applyBorder="1"/>
    <xf numFmtId="164" fontId="4" fillId="2" borderId="1" xfId="0" applyNumberFormat="1" applyFont="1" applyFill="1" applyBorder="1"/>
    <xf numFmtId="20" fontId="0" fillId="2" borderId="1" xfId="0" applyNumberForma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14" fontId="0" fillId="0" borderId="16" xfId="0" applyNumberFormat="1" applyBorder="1"/>
    <xf numFmtId="20" fontId="0" fillId="0" borderId="16" xfId="0" applyNumberFormat="1" applyBorder="1"/>
    <xf numFmtId="20" fontId="0" fillId="0" borderId="18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3" borderId="7" xfId="0" applyFont="1" applyFill="1" applyBorder="1"/>
    <xf numFmtId="164" fontId="4" fillId="3" borderId="8" xfId="0" applyNumberFormat="1" applyFont="1" applyFill="1" applyBorder="1"/>
    <xf numFmtId="0" fontId="4" fillId="3" borderId="8" xfId="0" applyFont="1" applyFill="1" applyBorder="1"/>
    <xf numFmtId="49" fontId="4" fillId="3" borderId="8" xfId="0" applyNumberFormat="1" applyFont="1" applyFill="1" applyBorder="1"/>
    <xf numFmtId="49" fontId="4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/>
    <xf numFmtId="0" fontId="4" fillId="3" borderId="9" xfId="0" applyFont="1" applyFill="1" applyBorder="1"/>
    <xf numFmtId="0" fontId="0" fillId="0" borderId="11" xfId="0" applyBorder="1"/>
    <xf numFmtId="20" fontId="0" fillId="0" borderId="10" xfId="0" applyNumberFormat="1" applyBorder="1"/>
    <xf numFmtId="49" fontId="4" fillId="0" borderId="10" xfId="0" applyNumberFormat="1" applyFont="1" applyBorder="1"/>
    <xf numFmtId="0" fontId="4" fillId="0" borderId="10" xfId="0" applyFont="1" applyBorder="1"/>
    <xf numFmtId="49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/>
    <xf numFmtId="0" fontId="4" fillId="0" borderId="12" xfId="0" applyFont="1" applyBorder="1"/>
    <xf numFmtId="0" fontId="3" fillId="0" borderId="5" xfId="0" applyFont="1" applyBorder="1"/>
    <xf numFmtId="164" fontId="3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2" fontId="3" fillId="0" borderId="1" xfId="0" applyNumberFormat="1" applyFont="1" applyBorder="1"/>
    <xf numFmtId="0" fontId="3" fillId="0" borderId="6" xfId="0" applyFont="1" applyBorder="1"/>
    <xf numFmtId="49" fontId="0" fillId="0" borderId="1" xfId="0" applyNumberFormat="1" applyBorder="1"/>
    <xf numFmtId="49" fontId="0" fillId="0" borderId="8" xfId="0" applyNumberFormat="1" applyBorder="1"/>
    <xf numFmtId="2" fontId="0" fillId="0" borderId="1" xfId="0" applyNumberFormat="1" applyBorder="1"/>
    <xf numFmtId="2" fontId="0" fillId="0" borderId="8" xfId="0" applyNumberFormat="1" applyBorder="1"/>
    <xf numFmtId="0" fontId="0" fillId="0" borderId="0" xfId="0" applyAlignment="1">
      <alignment horizontal="left"/>
    </xf>
    <xf numFmtId="0" fontId="0" fillId="3" borderId="5" xfId="0" applyFill="1" applyBorder="1"/>
    <xf numFmtId="20" fontId="0" fillId="3" borderId="1" xfId="0" applyNumberFormat="1" applyFill="1" applyBorder="1"/>
    <xf numFmtId="49" fontId="0" fillId="3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3" borderId="6" xfId="0" applyFill="1" applyBorder="1"/>
    <xf numFmtId="0" fontId="0" fillId="0" borderId="0" xfId="0" applyFill="1"/>
    <xf numFmtId="0" fontId="5" fillId="4" borderId="1" xfId="0" applyFont="1" applyFill="1" applyBorder="1"/>
    <xf numFmtId="164" fontId="4" fillId="0" borderId="16" xfId="0" applyNumberFormat="1" applyFont="1" applyBorder="1"/>
    <xf numFmtId="49" fontId="4" fillId="0" borderId="16" xfId="0" applyNumberFormat="1" applyFont="1" applyBorder="1" applyAlignment="1">
      <alignment horizontal="centerContinuous"/>
    </xf>
    <xf numFmtId="2" fontId="4" fillId="0" borderId="16" xfId="0" applyNumberFormat="1" applyFont="1" applyBorder="1"/>
    <xf numFmtId="2" fontId="4" fillId="0" borderId="18" xfId="0" applyNumberFormat="1" applyFont="1" applyBorder="1"/>
    <xf numFmtId="2" fontId="4" fillId="0" borderId="6" xfId="0" applyNumberFormat="1" applyFont="1" applyBorder="1"/>
    <xf numFmtId="2" fontId="4" fillId="3" borderId="6" xfId="0" applyNumberFormat="1" applyFont="1" applyFill="1" applyBorder="1"/>
    <xf numFmtId="2" fontId="4" fillId="0" borderId="6" xfId="0" applyNumberFormat="1" applyFont="1" applyFill="1" applyBorder="1"/>
    <xf numFmtId="2" fontId="0" fillId="0" borderId="6" xfId="0" applyNumberFormat="1" applyBorder="1"/>
    <xf numFmtId="2" fontId="0" fillId="3" borderId="6" xfId="0" applyNumberFormat="1" applyFill="1" applyBorder="1"/>
    <xf numFmtId="2" fontId="0" fillId="0" borderId="9" xfId="0" applyNumberFormat="1" applyBorder="1"/>
    <xf numFmtId="165" fontId="4" fillId="0" borderId="16" xfId="0" applyNumberFormat="1" applyFont="1" applyBorder="1"/>
    <xf numFmtId="165" fontId="4" fillId="0" borderId="1" xfId="0" applyNumberFormat="1" applyFont="1" applyBorder="1"/>
    <xf numFmtId="165" fontId="4" fillId="3" borderId="1" xfId="0" applyNumberFormat="1" applyFont="1" applyFill="1" applyBorder="1"/>
    <xf numFmtId="165" fontId="4" fillId="0" borderId="1" xfId="0" applyNumberFormat="1" applyFont="1" applyFill="1" applyBorder="1"/>
    <xf numFmtId="165" fontId="4" fillId="2" borderId="1" xfId="0" applyNumberFormat="1" applyFont="1" applyFill="1" applyBorder="1"/>
    <xf numFmtId="165" fontId="0" fillId="4" borderId="1" xfId="0" applyNumberFormat="1" applyFill="1" applyBorder="1"/>
    <xf numFmtId="165" fontId="0" fillId="0" borderId="1" xfId="0" applyNumberFormat="1" applyBorder="1"/>
    <xf numFmtId="165" fontId="0" fillId="3" borderId="1" xfId="0" applyNumberFormat="1" applyFill="1" applyBorder="1"/>
    <xf numFmtId="165" fontId="0" fillId="0" borderId="8" xfId="0" applyNumberFormat="1" applyBorder="1"/>
    <xf numFmtId="165" fontId="0" fillId="0" borderId="0" xfId="0" applyNumberFormat="1"/>
    <xf numFmtId="2" fontId="0" fillId="0" borderId="0" xfId="0" applyNumberFormat="1"/>
    <xf numFmtId="0" fontId="0" fillId="0" borderId="0" xfId="0" applyBorder="1"/>
    <xf numFmtId="20" fontId="0" fillId="0" borderId="0" xfId="0" applyNumberFormat="1" applyBorder="1"/>
    <xf numFmtId="49" fontId="0" fillId="0" borderId="0" xfId="0" applyNumberFormat="1" applyBorder="1"/>
    <xf numFmtId="165" fontId="0" fillId="0" borderId="0" xfId="0" applyNumberFormat="1" applyBorder="1"/>
    <xf numFmtId="2" fontId="0" fillId="0" borderId="0" xfId="0" applyNumberFormat="1" applyBorder="1"/>
    <xf numFmtId="0" fontId="0" fillId="0" borderId="5" xfId="0" applyFill="1" applyBorder="1"/>
    <xf numFmtId="49" fontId="0" fillId="0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10" workbookViewId="0">
      <selection activeCell="A36" sqref="A36:K38"/>
    </sheetView>
  </sheetViews>
  <sheetFormatPr defaultRowHeight="12.75" x14ac:dyDescent="0.2"/>
  <cols>
    <col min="1" max="1" width="7.140625" style="7" customWidth="1"/>
    <col min="2" max="2" width="6.7109375" style="32" customWidth="1"/>
    <col min="3" max="3" width="9.140625" style="7"/>
    <col min="4" max="4" width="16.5703125" style="79" customWidth="1"/>
    <col min="5" max="5" width="9.140625" style="7"/>
    <col min="6" max="6" width="6.5703125" style="7" customWidth="1"/>
    <col min="7" max="7" width="7.7109375" style="79" customWidth="1"/>
    <col min="8" max="8" width="11.140625" style="7" customWidth="1"/>
    <col min="9" max="10" width="12.28515625" style="33" customWidth="1"/>
    <col min="11" max="12" width="9.140625" style="7"/>
    <col min="13" max="13" width="23.85546875" style="7" customWidth="1"/>
    <col min="14" max="14" width="9.140625" style="17"/>
    <col min="15" max="16384" width="9.140625" style="7"/>
  </cols>
  <sheetData>
    <row r="1" spans="1:14" ht="13.5" thickBot="1" x14ac:dyDescent="0.25">
      <c r="A1" s="1" t="s">
        <v>0</v>
      </c>
      <c r="B1" s="2" t="s">
        <v>10</v>
      </c>
      <c r="C1" s="3" t="s">
        <v>1</v>
      </c>
      <c r="D1" s="69" t="s">
        <v>19</v>
      </c>
      <c r="E1" s="3" t="s">
        <v>2</v>
      </c>
      <c r="F1" s="3" t="s">
        <v>3</v>
      </c>
      <c r="G1" s="69" t="s">
        <v>299</v>
      </c>
      <c r="H1" s="3" t="s">
        <v>6</v>
      </c>
      <c r="I1" s="5" t="s">
        <v>5</v>
      </c>
      <c r="J1" s="5" t="s">
        <v>72</v>
      </c>
      <c r="K1" s="3" t="s">
        <v>7</v>
      </c>
      <c r="L1" s="3" t="s">
        <v>8</v>
      </c>
      <c r="M1" s="6" t="s">
        <v>12</v>
      </c>
      <c r="N1" s="8" t="s">
        <v>25</v>
      </c>
    </row>
    <row r="2" spans="1:14" x14ac:dyDescent="0.2">
      <c r="A2" s="41" t="s">
        <v>9</v>
      </c>
      <c r="B2" s="42"/>
      <c r="C2" s="43" t="s">
        <v>20</v>
      </c>
      <c r="D2" s="75" t="s">
        <v>11</v>
      </c>
      <c r="E2" s="43">
        <v>19798</v>
      </c>
      <c r="F2" s="43">
        <v>57.6</v>
      </c>
      <c r="G2" s="75" t="s">
        <v>26</v>
      </c>
      <c r="H2" s="43">
        <v>4388</v>
      </c>
      <c r="I2" s="44">
        <f>H2/60/60</f>
        <v>1.2188888888888889</v>
      </c>
      <c r="J2" s="44">
        <f>4795/60/60</f>
        <v>1.3319444444444446</v>
      </c>
      <c r="K2" s="43">
        <v>-0.06</v>
      </c>
      <c r="L2" s="43">
        <v>0.18</v>
      </c>
      <c r="M2" s="45" t="s">
        <v>13</v>
      </c>
      <c r="N2" s="8">
        <v>1</v>
      </c>
    </row>
    <row r="3" spans="1:14" x14ac:dyDescent="0.2">
      <c r="A3" s="9">
        <v>1</v>
      </c>
      <c r="B3" s="10">
        <v>0.16666666666666666</v>
      </c>
      <c r="C3" s="11" t="s">
        <v>14</v>
      </c>
      <c r="D3" s="73" t="s">
        <v>15</v>
      </c>
      <c r="E3" s="11">
        <v>23114</v>
      </c>
      <c r="F3" s="11">
        <v>33.4</v>
      </c>
      <c r="G3" s="73" t="s">
        <v>27</v>
      </c>
      <c r="H3" s="11">
        <v>4896</v>
      </c>
      <c r="I3" s="14">
        <f t="shared" ref="I3:I34" si="0">H3/60/60</f>
        <v>1.3599999999999999</v>
      </c>
      <c r="J3" s="14">
        <f>5751/60/60</f>
        <v>1.5974999999999999</v>
      </c>
      <c r="K3" s="11">
        <v>-0.18</v>
      </c>
      <c r="L3" s="11">
        <v>0.25</v>
      </c>
      <c r="M3" s="15" t="s">
        <v>16</v>
      </c>
      <c r="N3" s="8">
        <v>1</v>
      </c>
    </row>
    <row r="4" spans="1:14" x14ac:dyDescent="0.2">
      <c r="A4" s="9">
        <v>2</v>
      </c>
      <c r="B4" s="10">
        <v>0.33333333333333331</v>
      </c>
      <c r="C4" s="11" t="s">
        <v>17</v>
      </c>
      <c r="D4" s="73" t="s">
        <v>18</v>
      </c>
      <c r="E4" s="11">
        <v>27604</v>
      </c>
      <c r="F4" s="11">
        <v>16.399999999999999</v>
      </c>
      <c r="G4" s="73" t="s">
        <v>26</v>
      </c>
      <c r="H4" s="11">
        <v>6004</v>
      </c>
      <c r="I4" s="14">
        <f t="shared" si="0"/>
        <v>1.6677777777777778</v>
      </c>
      <c r="J4" s="14">
        <f>6637/60/60</f>
        <v>1.8436111111111111</v>
      </c>
      <c r="K4" s="11">
        <v>-0.21</v>
      </c>
      <c r="L4" s="11">
        <v>0.08</v>
      </c>
      <c r="M4" s="15" t="s">
        <v>16</v>
      </c>
      <c r="N4" s="8">
        <v>1</v>
      </c>
    </row>
    <row r="5" spans="1:14" x14ac:dyDescent="0.2">
      <c r="A5" s="9">
        <v>3</v>
      </c>
      <c r="B5" s="10">
        <v>0.5</v>
      </c>
      <c r="C5" s="11" t="s">
        <v>23</v>
      </c>
      <c r="D5" s="73" t="s">
        <v>22</v>
      </c>
      <c r="E5" s="11">
        <v>25430</v>
      </c>
      <c r="F5" s="11">
        <v>22.94</v>
      </c>
      <c r="G5" s="73" t="s">
        <v>27</v>
      </c>
      <c r="H5" s="11">
        <v>6542</v>
      </c>
      <c r="I5" s="14">
        <f t="shared" si="0"/>
        <v>1.8172222222222223</v>
      </c>
      <c r="J5" s="14">
        <f>7328/60/60</f>
        <v>2.0355555555555558</v>
      </c>
      <c r="K5" s="11">
        <v>-0.1</v>
      </c>
      <c r="L5" s="11">
        <v>0.22</v>
      </c>
      <c r="M5" s="15" t="s">
        <v>16</v>
      </c>
      <c r="N5" s="8">
        <v>2</v>
      </c>
    </row>
    <row r="6" spans="1:14" x14ac:dyDescent="0.2">
      <c r="A6" s="9">
        <v>4</v>
      </c>
      <c r="B6" s="10">
        <v>0.66666666666666663</v>
      </c>
      <c r="C6" s="11" t="s">
        <v>21</v>
      </c>
      <c r="D6" s="73" t="s">
        <v>24</v>
      </c>
      <c r="E6" s="11">
        <v>29006</v>
      </c>
      <c r="F6" s="11">
        <v>13.2</v>
      </c>
      <c r="G6" s="73" t="s">
        <v>27</v>
      </c>
      <c r="H6" s="11">
        <v>7106</v>
      </c>
      <c r="I6" s="14">
        <f t="shared" si="0"/>
        <v>1.973888888888889</v>
      </c>
      <c r="J6" s="14">
        <f>7656/60/60</f>
        <v>2.1266666666666665</v>
      </c>
      <c r="K6" s="11">
        <v>-0.16</v>
      </c>
      <c r="L6" s="11">
        <v>-0.06</v>
      </c>
      <c r="M6" s="16" t="s">
        <v>34</v>
      </c>
      <c r="N6" s="8">
        <v>2</v>
      </c>
    </row>
    <row r="7" spans="1:14" x14ac:dyDescent="0.2">
      <c r="A7" s="9">
        <v>5</v>
      </c>
      <c r="B7" s="10">
        <v>0.83333333333333337</v>
      </c>
      <c r="C7" s="11" t="s">
        <v>28</v>
      </c>
      <c r="D7" s="73" t="s">
        <v>29</v>
      </c>
      <c r="E7" s="11">
        <v>25496</v>
      </c>
      <c r="F7" s="11">
        <v>22.9</v>
      </c>
      <c r="G7" s="73" t="s">
        <v>38</v>
      </c>
      <c r="H7" s="11">
        <v>4992</v>
      </c>
      <c r="I7" s="14">
        <f t="shared" si="0"/>
        <v>1.3866666666666667</v>
      </c>
      <c r="J7" s="14">
        <f>5450/60/60</f>
        <v>1.5138888888888888</v>
      </c>
      <c r="K7" s="11">
        <v>-0.18</v>
      </c>
      <c r="L7" s="11">
        <v>0.04</v>
      </c>
      <c r="M7" s="15" t="s">
        <v>30</v>
      </c>
      <c r="N7" s="17" t="s">
        <v>31</v>
      </c>
    </row>
    <row r="8" spans="1:14" x14ac:dyDescent="0.2">
      <c r="A8" s="18">
        <v>6</v>
      </c>
      <c r="B8" s="19">
        <v>0</v>
      </c>
      <c r="C8" s="20" t="s">
        <v>33</v>
      </c>
      <c r="D8" s="76"/>
      <c r="E8" s="20"/>
      <c r="F8" s="20"/>
      <c r="G8" s="76"/>
      <c r="H8" s="20"/>
      <c r="I8" s="22"/>
      <c r="J8" s="22"/>
      <c r="K8" s="20"/>
      <c r="L8" s="20"/>
      <c r="M8" s="23" t="s">
        <v>32</v>
      </c>
      <c r="N8" s="17" t="s">
        <v>37</v>
      </c>
    </row>
    <row r="9" spans="1:14" x14ac:dyDescent="0.2">
      <c r="A9" s="9">
        <v>7</v>
      </c>
      <c r="B9" s="10">
        <v>0.16666666666666666</v>
      </c>
      <c r="C9" s="11" t="s">
        <v>35</v>
      </c>
      <c r="D9" s="73" t="s">
        <v>36</v>
      </c>
      <c r="E9" s="11">
        <v>23767</v>
      </c>
      <c r="F9" s="11">
        <v>29.9</v>
      </c>
      <c r="G9" s="73" t="s">
        <v>38</v>
      </c>
      <c r="H9" s="11">
        <v>4646</v>
      </c>
      <c r="I9" s="14">
        <f t="shared" si="0"/>
        <v>1.2905555555555557</v>
      </c>
      <c r="J9" s="14">
        <f>5336/60/60</f>
        <v>1.4822222222222223</v>
      </c>
      <c r="K9" s="11">
        <v>-0.19</v>
      </c>
      <c r="L9" s="11">
        <v>0.03</v>
      </c>
      <c r="M9" s="15" t="s">
        <v>16</v>
      </c>
      <c r="N9" s="17" t="s">
        <v>37</v>
      </c>
    </row>
    <row r="10" spans="1:14" x14ac:dyDescent="0.2">
      <c r="A10" s="9">
        <v>8</v>
      </c>
      <c r="B10" s="10">
        <v>0.33333333333333331</v>
      </c>
      <c r="C10" s="11" t="s">
        <v>42</v>
      </c>
      <c r="D10" s="73" t="s">
        <v>43</v>
      </c>
      <c r="E10" s="11">
        <v>24798</v>
      </c>
      <c r="F10" s="11">
        <v>25.5</v>
      </c>
      <c r="G10" s="73" t="s">
        <v>38</v>
      </c>
      <c r="H10" s="11">
        <v>4996</v>
      </c>
      <c r="I10" s="14">
        <f t="shared" si="0"/>
        <v>1.3877777777777778</v>
      </c>
      <c r="J10" s="14">
        <f>5646/60/60</f>
        <v>1.5683333333333331</v>
      </c>
      <c r="K10" s="11">
        <v>-0.16</v>
      </c>
      <c r="L10" s="11">
        <v>0.13</v>
      </c>
      <c r="M10" s="15"/>
      <c r="N10" s="17" t="s">
        <v>38</v>
      </c>
    </row>
    <row r="11" spans="1:14" x14ac:dyDescent="0.2">
      <c r="A11" s="9">
        <v>9</v>
      </c>
      <c r="B11" s="10">
        <v>0.5</v>
      </c>
      <c r="C11" s="11" t="s">
        <v>45</v>
      </c>
      <c r="D11" s="73" t="s">
        <v>44</v>
      </c>
      <c r="E11" s="11">
        <v>17793</v>
      </c>
      <c r="F11" s="11">
        <v>82.1</v>
      </c>
      <c r="G11" s="73" t="s">
        <v>27</v>
      </c>
      <c r="H11" s="11">
        <v>3936</v>
      </c>
      <c r="I11" s="14">
        <f t="shared" si="0"/>
        <v>1.0933333333333333</v>
      </c>
      <c r="J11" s="14">
        <f>4790/60/60</f>
        <v>1.3305555555555555</v>
      </c>
      <c r="K11" s="11">
        <v>-0.09</v>
      </c>
      <c r="L11" s="11">
        <v>0.09</v>
      </c>
      <c r="M11" s="15"/>
      <c r="N11" s="17" t="s">
        <v>38</v>
      </c>
    </row>
    <row r="12" spans="1:14" x14ac:dyDescent="0.2">
      <c r="A12" s="9">
        <v>10</v>
      </c>
      <c r="B12" s="10">
        <v>0.66666666666666663</v>
      </c>
      <c r="C12" s="11" t="s">
        <v>46</v>
      </c>
      <c r="D12" s="73" t="s">
        <v>47</v>
      </c>
      <c r="E12" s="11">
        <v>26769</v>
      </c>
      <c r="F12" s="11">
        <v>18.600000000000001</v>
      </c>
      <c r="G12" s="73" t="s">
        <v>48</v>
      </c>
      <c r="H12" s="11">
        <v>5642</v>
      </c>
      <c r="I12" s="14">
        <f t="shared" si="0"/>
        <v>1.5672222222222223</v>
      </c>
      <c r="J12" s="14">
        <f>6350/60/60</f>
        <v>1.7638888888888888</v>
      </c>
      <c r="K12" s="11">
        <v>-0.15</v>
      </c>
      <c r="L12" s="11">
        <v>0.21</v>
      </c>
      <c r="M12" s="15"/>
      <c r="N12" s="17" t="s">
        <v>38</v>
      </c>
    </row>
    <row r="13" spans="1:14" x14ac:dyDescent="0.2">
      <c r="A13" s="24">
        <v>11</v>
      </c>
      <c r="B13" s="46">
        <v>0.83333333333333337</v>
      </c>
      <c r="C13" s="40" t="s">
        <v>49</v>
      </c>
      <c r="D13" s="74" t="s">
        <v>52</v>
      </c>
      <c r="E13" s="40">
        <v>25749</v>
      </c>
      <c r="F13" s="40">
        <v>21.9</v>
      </c>
      <c r="G13" s="74" t="s">
        <v>48</v>
      </c>
      <c r="H13" s="40">
        <v>5782</v>
      </c>
      <c r="I13" s="49">
        <f t="shared" si="0"/>
        <v>1.606111111111111</v>
      </c>
      <c r="J13" s="49">
        <f>6414/60/60</f>
        <v>1.7816666666666667</v>
      </c>
      <c r="K13" s="40">
        <v>-0.14000000000000001</v>
      </c>
      <c r="L13" s="40">
        <v>0.22</v>
      </c>
      <c r="M13" s="50" t="s">
        <v>50</v>
      </c>
      <c r="N13" s="17" t="s">
        <v>27</v>
      </c>
    </row>
    <row r="14" spans="1:14" x14ac:dyDescent="0.2">
      <c r="A14" s="9">
        <v>12</v>
      </c>
      <c r="B14" s="10">
        <v>0.90972222222222221</v>
      </c>
      <c r="C14" s="11" t="s">
        <v>51</v>
      </c>
      <c r="D14" s="73"/>
      <c r="E14" s="11"/>
      <c r="F14" s="11"/>
      <c r="G14" s="73"/>
      <c r="H14" s="11"/>
      <c r="I14" s="14"/>
      <c r="J14" s="14"/>
      <c r="K14" s="11"/>
      <c r="L14" s="11"/>
      <c r="M14" s="15" t="s">
        <v>53</v>
      </c>
      <c r="N14" s="17" t="s">
        <v>27</v>
      </c>
    </row>
    <row r="15" spans="1:14" x14ac:dyDescent="0.2">
      <c r="A15" s="9">
        <v>13</v>
      </c>
      <c r="B15" s="10">
        <v>0.90972222222222221</v>
      </c>
      <c r="C15" s="11" t="s">
        <v>54</v>
      </c>
      <c r="D15" s="73" t="s">
        <v>55</v>
      </c>
      <c r="E15" s="11">
        <v>23695</v>
      </c>
      <c r="F15" s="11">
        <v>30.5</v>
      </c>
      <c r="G15" s="73" t="s">
        <v>27</v>
      </c>
      <c r="H15" s="11">
        <v>5130</v>
      </c>
      <c r="I15" s="14">
        <f t="shared" si="0"/>
        <v>1.425</v>
      </c>
      <c r="J15" s="14">
        <f>5946/60/60</f>
        <v>1.6516666666666666</v>
      </c>
      <c r="K15" s="11" t="s">
        <v>56</v>
      </c>
      <c r="L15" s="11" t="s">
        <v>56</v>
      </c>
      <c r="M15" s="16" t="s">
        <v>57</v>
      </c>
      <c r="N15" s="17" t="s">
        <v>27</v>
      </c>
    </row>
    <row r="16" spans="1:14" x14ac:dyDescent="0.2">
      <c r="A16" s="9">
        <v>14</v>
      </c>
      <c r="B16" s="10">
        <v>0.16666666666666666</v>
      </c>
      <c r="C16" s="11" t="s">
        <v>58</v>
      </c>
      <c r="D16" s="73" t="s">
        <v>59</v>
      </c>
      <c r="E16" s="11">
        <v>27182</v>
      </c>
      <c r="F16" s="11">
        <v>17.5</v>
      </c>
      <c r="G16" s="73" t="s">
        <v>48</v>
      </c>
      <c r="H16" s="11">
        <v>6418</v>
      </c>
      <c r="I16" s="14">
        <f t="shared" si="0"/>
        <v>1.7827777777777778</v>
      </c>
      <c r="J16" s="14">
        <f>8946/60/60</f>
        <v>2.4849999999999999</v>
      </c>
      <c r="K16" s="11">
        <v>-0.1</v>
      </c>
      <c r="L16" s="11">
        <v>0.25</v>
      </c>
      <c r="M16" s="15" t="s">
        <v>73</v>
      </c>
      <c r="N16" s="17" t="s">
        <v>27</v>
      </c>
    </row>
    <row r="17" spans="1:14" x14ac:dyDescent="0.2">
      <c r="A17" s="9">
        <v>15</v>
      </c>
      <c r="B17" s="10">
        <v>0.33333333333333331</v>
      </c>
      <c r="C17" s="11" t="s">
        <v>61</v>
      </c>
      <c r="D17" s="73" t="s">
        <v>62</v>
      </c>
      <c r="E17" s="11">
        <v>23725</v>
      </c>
      <c r="F17" s="11">
        <v>30.3</v>
      </c>
      <c r="G17" s="73" t="s">
        <v>27</v>
      </c>
      <c r="H17" s="11">
        <v>5448</v>
      </c>
      <c r="I17" s="14">
        <f t="shared" si="0"/>
        <v>1.5133333333333332</v>
      </c>
      <c r="J17" s="14">
        <f>6570/60/60</f>
        <v>1.825</v>
      </c>
      <c r="K17" s="11">
        <v>-0.16</v>
      </c>
      <c r="L17" s="11">
        <v>-0.16</v>
      </c>
      <c r="M17" s="15"/>
      <c r="N17" s="17" t="s">
        <v>60</v>
      </c>
    </row>
    <row r="18" spans="1:14" x14ac:dyDescent="0.2">
      <c r="A18" s="9">
        <v>16</v>
      </c>
      <c r="B18" s="10">
        <v>0.5</v>
      </c>
      <c r="C18" s="11" t="s">
        <v>63</v>
      </c>
      <c r="D18" s="73" t="s">
        <v>64</v>
      </c>
      <c r="E18" s="11">
        <v>25673</v>
      </c>
      <c r="F18" s="11">
        <v>30.3</v>
      </c>
      <c r="G18" s="73" t="s">
        <v>27</v>
      </c>
      <c r="H18" s="11">
        <v>5072</v>
      </c>
      <c r="I18" s="14">
        <f t="shared" si="0"/>
        <v>1.4088888888888889</v>
      </c>
      <c r="J18" s="14">
        <f>5718/60/60</f>
        <v>1.5883333333333334</v>
      </c>
      <c r="K18" s="11">
        <v>-0.13</v>
      </c>
      <c r="L18" s="11">
        <v>0</v>
      </c>
      <c r="M18" s="15" t="s">
        <v>71</v>
      </c>
      <c r="N18" s="17" t="s">
        <v>60</v>
      </c>
    </row>
    <row r="19" spans="1:14" x14ac:dyDescent="0.2">
      <c r="A19" s="9">
        <v>17</v>
      </c>
      <c r="B19" s="10">
        <v>0.66666666666666663</v>
      </c>
      <c r="C19" s="11" t="s">
        <v>67</v>
      </c>
      <c r="D19" s="73" t="s">
        <v>68</v>
      </c>
      <c r="E19" s="11">
        <v>24741</v>
      </c>
      <c r="F19" s="11">
        <v>25.6</v>
      </c>
      <c r="G19" s="73" t="s">
        <v>27</v>
      </c>
      <c r="H19" s="11">
        <v>4848</v>
      </c>
      <c r="I19" s="14">
        <f t="shared" si="0"/>
        <v>1.3466666666666667</v>
      </c>
      <c r="J19" s="14">
        <f>5560/60/60</f>
        <v>1.5444444444444445</v>
      </c>
      <c r="K19" s="11">
        <v>-0.14000000000000001</v>
      </c>
      <c r="L19" s="11">
        <v>0.22</v>
      </c>
      <c r="M19" s="15"/>
      <c r="N19" s="17" t="s">
        <v>60</v>
      </c>
    </row>
    <row r="20" spans="1:14" x14ac:dyDescent="0.2">
      <c r="A20" s="9">
        <v>18</v>
      </c>
      <c r="B20" s="10">
        <v>0.83333333333333337</v>
      </c>
      <c r="C20" s="11" t="s">
        <v>69</v>
      </c>
      <c r="D20" s="73" t="s">
        <v>70</v>
      </c>
      <c r="E20" s="11">
        <v>28217</v>
      </c>
      <c r="F20" s="11">
        <v>15</v>
      </c>
      <c r="G20" s="73" t="s">
        <v>48</v>
      </c>
      <c r="H20" s="11">
        <v>6368</v>
      </c>
      <c r="I20" s="14">
        <f t="shared" si="0"/>
        <v>1.768888888888889</v>
      </c>
      <c r="J20" s="14">
        <f>7086/60/60</f>
        <v>1.9683333333333333</v>
      </c>
      <c r="K20" s="11">
        <v>-0.17</v>
      </c>
      <c r="L20" s="11">
        <v>0.36</v>
      </c>
      <c r="M20" s="15"/>
      <c r="N20" s="17" t="s">
        <v>65</v>
      </c>
    </row>
    <row r="21" spans="1:14" x14ac:dyDescent="0.2">
      <c r="A21" s="18">
        <v>19</v>
      </c>
      <c r="B21" s="19">
        <v>0</v>
      </c>
      <c r="C21" s="20" t="s">
        <v>77</v>
      </c>
      <c r="D21" s="76"/>
      <c r="E21" s="20"/>
      <c r="F21" s="20"/>
      <c r="G21" s="76"/>
      <c r="H21" s="20"/>
      <c r="I21" s="22"/>
      <c r="J21" s="22"/>
      <c r="K21" s="20"/>
      <c r="L21" s="20"/>
      <c r="M21" s="23" t="s">
        <v>78</v>
      </c>
      <c r="N21" s="17" t="s">
        <v>65</v>
      </c>
    </row>
    <row r="22" spans="1:14" x14ac:dyDescent="0.2">
      <c r="A22" s="9">
        <v>20</v>
      </c>
      <c r="B22" s="10">
        <v>0.16666666666666666</v>
      </c>
      <c r="C22" s="11" t="s">
        <v>79</v>
      </c>
      <c r="D22" s="73" t="s">
        <v>80</v>
      </c>
      <c r="E22" s="11">
        <v>27258</v>
      </c>
      <c r="F22" s="11">
        <v>17.3</v>
      </c>
      <c r="G22" s="73" t="s">
        <v>27</v>
      </c>
      <c r="H22" s="11">
        <v>6171</v>
      </c>
      <c r="I22" s="14">
        <f t="shared" si="0"/>
        <v>1.7141666666666666</v>
      </c>
      <c r="J22" s="14">
        <f>6208/60/60</f>
        <v>1.7244444444444444</v>
      </c>
      <c r="K22" s="11">
        <v>-0.15</v>
      </c>
      <c r="L22" s="11">
        <v>0.23</v>
      </c>
      <c r="M22" s="15" t="s">
        <v>108</v>
      </c>
      <c r="N22" s="17" t="s">
        <v>65</v>
      </c>
    </row>
    <row r="23" spans="1:14" x14ac:dyDescent="0.2">
      <c r="A23" s="9">
        <v>21</v>
      </c>
      <c r="B23" s="10">
        <v>0.33333333333333331</v>
      </c>
      <c r="C23" s="11" t="s">
        <v>81</v>
      </c>
      <c r="D23" s="73" t="s">
        <v>82</v>
      </c>
      <c r="E23" s="11">
        <v>26170</v>
      </c>
      <c r="F23" s="11">
        <v>20.6</v>
      </c>
      <c r="G23" s="73" t="s">
        <v>27</v>
      </c>
      <c r="H23" s="11">
        <v>6940</v>
      </c>
      <c r="I23" s="14">
        <f t="shared" si="0"/>
        <v>1.9277777777777778</v>
      </c>
      <c r="J23" s="14">
        <f>7674/60/60</f>
        <v>2.1316666666666668</v>
      </c>
      <c r="K23" s="11">
        <v>-0.23</v>
      </c>
      <c r="L23" s="11">
        <v>0.1</v>
      </c>
      <c r="M23" s="15" t="s">
        <v>104</v>
      </c>
      <c r="N23" s="17" t="s">
        <v>39</v>
      </c>
    </row>
    <row r="24" spans="1:14" x14ac:dyDescent="0.2">
      <c r="A24" s="9">
        <v>22</v>
      </c>
      <c r="B24" s="10">
        <v>0.5</v>
      </c>
      <c r="C24" s="11" t="s">
        <v>83</v>
      </c>
      <c r="D24" s="73" t="s">
        <v>84</v>
      </c>
      <c r="E24" s="11">
        <v>28177</v>
      </c>
      <c r="F24" s="11">
        <v>15</v>
      </c>
      <c r="G24" s="73" t="s">
        <v>37</v>
      </c>
      <c r="H24" s="11">
        <v>10024</v>
      </c>
      <c r="I24" s="14">
        <f t="shared" si="0"/>
        <v>2.7844444444444445</v>
      </c>
      <c r="J24" s="14">
        <f>10724/60/60</f>
        <v>2.9788888888888887</v>
      </c>
      <c r="K24" s="11">
        <v>-0.2</v>
      </c>
      <c r="L24" s="11">
        <v>0.14000000000000001</v>
      </c>
      <c r="M24" s="15" t="s">
        <v>104</v>
      </c>
      <c r="N24" s="17" t="s">
        <v>39</v>
      </c>
    </row>
    <row r="25" spans="1:14" x14ac:dyDescent="0.2">
      <c r="A25" s="9">
        <v>23</v>
      </c>
      <c r="B25" s="10">
        <v>0.66666666666666663</v>
      </c>
      <c r="C25" s="11" t="s">
        <v>85</v>
      </c>
      <c r="D25" s="73" t="s">
        <v>86</v>
      </c>
      <c r="E25" s="11">
        <v>21390</v>
      </c>
      <c r="F25" s="11">
        <v>44.2</v>
      </c>
      <c r="G25" s="73" t="s">
        <v>27</v>
      </c>
      <c r="H25" s="11">
        <v>4693</v>
      </c>
      <c r="I25" s="14">
        <f t="shared" si="0"/>
        <v>1.3036111111111111</v>
      </c>
      <c r="J25" s="14">
        <f>5582/60/60</f>
        <v>1.5505555555555555</v>
      </c>
      <c r="K25" s="11">
        <v>-0.11</v>
      </c>
      <c r="L25" s="11">
        <v>0.19</v>
      </c>
      <c r="M25" s="15" t="s">
        <v>87</v>
      </c>
      <c r="N25" s="17" t="s">
        <v>66</v>
      </c>
    </row>
    <row r="26" spans="1:14" x14ac:dyDescent="0.2">
      <c r="A26" s="9">
        <v>24</v>
      </c>
      <c r="B26" s="10">
        <v>0.83333333333333337</v>
      </c>
      <c r="C26" s="11" t="s">
        <v>88</v>
      </c>
      <c r="D26" s="73" t="s">
        <v>89</v>
      </c>
      <c r="E26" s="11">
        <v>27389</v>
      </c>
      <c r="F26" s="11">
        <v>17</v>
      </c>
      <c r="G26" s="73" t="s">
        <v>27</v>
      </c>
      <c r="H26" s="11">
        <v>6474</v>
      </c>
      <c r="I26" s="14">
        <f t="shared" si="0"/>
        <v>1.7983333333333333</v>
      </c>
      <c r="J26" s="14">
        <f>7134/60/60</f>
        <v>1.9816666666666667</v>
      </c>
      <c r="K26" s="11">
        <v>-0.21</v>
      </c>
      <c r="L26" s="11">
        <v>7.0000000000000007E-2</v>
      </c>
      <c r="M26" s="15" t="s">
        <v>87</v>
      </c>
      <c r="N26" s="17" t="s">
        <v>66</v>
      </c>
    </row>
    <row r="27" spans="1:14" x14ac:dyDescent="0.2">
      <c r="A27" s="24">
        <v>25</v>
      </c>
      <c r="B27" s="10">
        <v>0</v>
      </c>
      <c r="C27" s="11" t="s">
        <v>91</v>
      </c>
      <c r="D27" s="73" t="s">
        <v>92</v>
      </c>
      <c r="E27" s="11">
        <v>28236</v>
      </c>
      <c r="F27" s="11">
        <v>14.9</v>
      </c>
      <c r="G27" s="73" t="s">
        <v>27</v>
      </c>
      <c r="H27" s="11">
        <v>6268</v>
      </c>
      <c r="I27" s="14">
        <f t="shared" si="0"/>
        <v>1.7411111111111111</v>
      </c>
      <c r="J27" s="14">
        <f>6988/60/60</f>
        <v>1.9411111111111112</v>
      </c>
      <c r="K27" s="11">
        <v>-0.15</v>
      </c>
      <c r="L27" s="11">
        <v>-0.04</v>
      </c>
      <c r="M27" s="15" t="s">
        <v>87</v>
      </c>
      <c r="N27" s="17" t="s">
        <v>66</v>
      </c>
    </row>
    <row r="28" spans="1:14" x14ac:dyDescent="0.2">
      <c r="A28" s="24">
        <v>26</v>
      </c>
      <c r="B28" s="10">
        <v>0.16666666666666666</v>
      </c>
      <c r="C28" s="11" t="s">
        <v>93</v>
      </c>
      <c r="D28" s="73" t="s">
        <v>95</v>
      </c>
      <c r="E28" s="11">
        <v>25066</v>
      </c>
      <c r="F28" s="11">
        <v>24.4</v>
      </c>
      <c r="G28" s="73" t="s">
        <v>27</v>
      </c>
      <c r="H28" s="11">
        <v>4672</v>
      </c>
      <c r="I28" s="14">
        <f t="shared" si="0"/>
        <v>1.2977777777777777</v>
      </c>
      <c r="J28" s="14">
        <f>5322/60/60</f>
        <v>1.4783333333333333</v>
      </c>
      <c r="K28" s="11">
        <v>-0.19</v>
      </c>
      <c r="L28" s="11">
        <v>0.1</v>
      </c>
      <c r="M28" s="15" t="s">
        <v>87</v>
      </c>
      <c r="N28" s="17" t="s">
        <v>66</v>
      </c>
    </row>
    <row r="29" spans="1:14" x14ac:dyDescent="0.2">
      <c r="A29" s="24">
        <v>27</v>
      </c>
      <c r="B29" s="10">
        <v>0.33333333333333331</v>
      </c>
      <c r="C29" s="11" t="s">
        <v>96</v>
      </c>
      <c r="D29" s="73" t="s">
        <v>97</v>
      </c>
      <c r="E29" s="11">
        <v>26461</v>
      </c>
      <c r="F29" s="11">
        <v>19.7</v>
      </c>
      <c r="G29" s="73" t="s">
        <v>98</v>
      </c>
      <c r="H29" s="11">
        <v>5970</v>
      </c>
      <c r="I29" s="14">
        <f t="shared" si="0"/>
        <v>1.6583333333333334</v>
      </c>
      <c r="J29" s="14">
        <v>1.85</v>
      </c>
      <c r="K29" s="11">
        <v>-0.12</v>
      </c>
      <c r="L29" s="11">
        <v>0.1</v>
      </c>
      <c r="M29" s="15" t="s">
        <v>87</v>
      </c>
      <c r="N29" s="17" t="s">
        <v>94</v>
      </c>
    </row>
    <row r="30" spans="1:14" x14ac:dyDescent="0.2">
      <c r="A30" s="24">
        <v>28</v>
      </c>
      <c r="B30" s="10">
        <v>0.5</v>
      </c>
      <c r="C30" s="11" t="s">
        <v>99</v>
      </c>
      <c r="D30" s="73" t="s">
        <v>100</v>
      </c>
      <c r="E30" s="11">
        <v>28024</v>
      </c>
      <c r="F30" s="11">
        <v>15.4</v>
      </c>
      <c r="G30" s="73" t="s">
        <v>101</v>
      </c>
      <c r="H30" s="11">
        <v>6606</v>
      </c>
      <c r="I30" s="14">
        <f t="shared" si="0"/>
        <v>1.835</v>
      </c>
      <c r="J30" s="14">
        <v>2.02</v>
      </c>
      <c r="K30" s="11">
        <v>-0.11</v>
      </c>
      <c r="L30" s="11">
        <v>-0.2</v>
      </c>
      <c r="M30" s="15" t="s">
        <v>87</v>
      </c>
      <c r="N30" s="17" t="s">
        <v>94</v>
      </c>
    </row>
    <row r="31" spans="1:14" x14ac:dyDescent="0.2">
      <c r="A31" s="24">
        <v>29</v>
      </c>
      <c r="B31" s="10">
        <v>0.66666666666666663</v>
      </c>
      <c r="C31" s="11" t="s">
        <v>102</v>
      </c>
      <c r="D31" s="73" t="s">
        <v>103</v>
      </c>
      <c r="E31" s="11">
        <v>28785</v>
      </c>
      <c r="F31" s="11">
        <v>13.7</v>
      </c>
      <c r="G31" s="73" t="s">
        <v>27</v>
      </c>
      <c r="H31" s="11">
        <v>6642</v>
      </c>
      <c r="I31" s="14">
        <f t="shared" si="0"/>
        <v>1.845</v>
      </c>
      <c r="J31" s="14">
        <f>7734/60/60</f>
        <v>2.1483333333333334</v>
      </c>
      <c r="K31" s="11">
        <v>-0.12</v>
      </c>
      <c r="L31" s="11">
        <v>0.11</v>
      </c>
      <c r="M31" s="15" t="s">
        <v>87</v>
      </c>
      <c r="N31" s="17" t="s">
        <v>94</v>
      </c>
    </row>
    <row r="32" spans="1:14" x14ac:dyDescent="0.2">
      <c r="A32" s="24">
        <v>30</v>
      </c>
      <c r="B32" s="10">
        <v>0.83333333333333337</v>
      </c>
      <c r="C32" s="11" t="s">
        <v>105</v>
      </c>
      <c r="D32" s="73" t="s">
        <v>106</v>
      </c>
      <c r="E32" s="11">
        <v>26123</v>
      </c>
      <c r="F32" s="11">
        <v>20.7</v>
      </c>
      <c r="G32" s="73" t="s">
        <v>27</v>
      </c>
      <c r="H32" s="11">
        <v>4308</v>
      </c>
      <c r="I32" s="14">
        <f t="shared" si="0"/>
        <v>1.1966666666666665</v>
      </c>
      <c r="J32" s="14">
        <f>5414/60/60</f>
        <v>1.5038888888888888</v>
      </c>
      <c r="K32" s="11">
        <v>-0.23</v>
      </c>
      <c r="L32" s="11">
        <v>0.02</v>
      </c>
      <c r="M32" s="15" t="s">
        <v>87</v>
      </c>
      <c r="N32" s="17" t="s">
        <v>94</v>
      </c>
    </row>
    <row r="33" spans="1:14" x14ac:dyDescent="0.2">
      <c r="A33" s="24">
        <v>31</v>
      </c>
      <c r="B33" s="46">
        <v>0</v>
      </c>
      <c r="C33" s="40" t="s">
        <v>109</v>
      </c>
      <c r="D33" s="74" t="s">
        <v>110</v>
      </c>
      <c r="E33" s="40">
        <v>22796</v>
      </c>
      <c r="F33" s="40">
        <v>35.1</v>
      </c>
      <c r="G33" s="74" t="s">
        <v>27</v>
      </c>
      <c r="H33" s="40">
        <v>4418</v>
      </c>
      <c r="I33" s="49">
        <f t="shared" si="0"/>
        <v>1.2272222222222224</v>
      </c>
      <c r="J33" s="49">
        <f>5690/60/60</f>
        <v>1.5805555555555555</v>
      </c>
      <c r="K33" s="40">
        <v>-0.16</v>
      </c>
      <c r="L33" s="40">
        <v>0.19</v>
      </c>
      <c r="M33" s="16" t="s">
        <v>111</v>
      </c>
      <c r="N33" s="17" t="s">
        <v>107</v>
      </c>
    </row>
    <row r="34" spans="1:14" ht="13.5" thickBot="1" x14ac:dyDescent="0.25">
      <c r="A34" s="25">
        <v>32</v>
      </c>
      <c r="B34" s="26">
        <v>0.25</v>
      </c>
      <c r="C34" s="27" t="s">
        <v>112</v>
      </c>
      <c r="D34" s="77" t="s">
        <v>114</v>
      </c>
      <c r="E34" s="27">
        <v>24822</v>
      </c>
      <c r="F34" s="27">
        <v>25.4</v>
      </c>
      <c r="G34" s="77" t="s">
        <v>27</v>
      </c>
      <c r="H34" s="27">
        <v>4706</v>
      </c>
      <c r="I34" s="30">
        <f t="shared" si="0"/>
        <v>1.3072222222222223</v>
      </c>
      <c r="J34" s="30"/>
      <c r="K34" s="27">
        <v>-0.21</v>
      </c>
      <c r="L34" s="27">
        <v>0.38</v>
      </c>
      <c r="M34" s="31" t="s">
        <v>113</v>
      </c>
      <c r="N34" s="17" t="s">
        <v>107</v>
      </c>
    </row>
    <row r="36" spans="1:14" x14ac:dyDescent="0.2">
      <c r="A36" s="34" t="s">
        <v>74</v>
      </c>
      <c r="B36" s="35"/>
      <c r="C36" s="34"/>
      <c r="D36" s="78"/>
      <c r="E36" s="37">
        <f>AVERAGE(E2:E35)</f>
        <v>25441.8</v>
      </c>
      <c r="F36" s="39">
        <f>AVERAGE(F2:F35)</f>
        <v>25.901333333333341</v>
      </c>
      <c r="G36" s="78"/>
      <c r="H36" s="34"/>
      <c r="I36" s="38">
        <f>AVERAGE(I2:I35)</f>
        <v>1.5750555555555552</v>
      </c>
      <c r="J36" s="38">
        <f>AVERAGE(J2:J35)</f>
        <v>1.8044157088122605</v>
      </c>
      <c r="K36" s="38">
        <f>J36-I36</f>
        <v>0.22936015325670533</v>
      </c>
    </row>
    <row r="37" spans="1:14" x14ac:dyDescent="0.2">
      <c r="A37" s="34" t="s">
        <v>75</v>
      </c>
      <c r="B37" s="35"/>
      <c r="C37" s="34"/>
      <c r="D37" s="78"/>
      <c r="E37" s="34">
        <f>MAX(E2:E36)</f>
        <v>29006</v>
      </c>
      <c r="F37" s="34">
        <f>MAX(F2:F36)</f>
        <v>82.1</v>
      </c>
      <c r="G37" s="78"/>
      <c r="H37" s="34"/>
      <c r="I37" s="38">
        <f>MAX(I2:I36)</f>
        <v>2.7844444444444445</v>
      </c>
      <c r="J37" s="38">
        <f>MAX(J2:J36)</f>
        <v>2.9788888888888887</v>
      </c>
      <c r="K37" s="38">
        <f>J37-I37</f>
        <v>0.1944444444444442</v>
      </c>
    </row>
    <row r="38" spans="1:14" x14ac:dyDescent="0.2">
      <c r="A38" s="34" t="s">
        <v>76</v>
      </c>
      <c r="B38" s="35"/>
      <c r="C38" s="34"/>
      <c r="D38" s="78"/>
      <c r="E38" s="34">
        <f>MIN(E2:E37)</f>
        <v>17793</v>
      </c>
      <c r="F38" s="34">
        <f>MIN(F2:F37)</f>
        <v>13.2</v>
      </c>
      <c r="G38" s="78"/>
      <c r="H38" s="34"/>
      <c r="I38" s="38">
        <f>MIN(I2:I37)</f>
        <v>1.0933333333333333</v>
      </c>
      <c r="J38" s="38">
        <f>MIN(J2:J37)</f>
        <v>1.3305555555555555</v>
      </c>
      <c r="K38" s="38">
        <f>J38-I38</f>
        <v>0.23722222222222222</v>
      </c>
    </row>
    <row r="39" spans="1:14" x14ac:dyDescent="0.2">
      <c r="K39" s="7" t="s">
        <v>90</v>
      </c>
    </row>
  </sheetData>
  <pageMargins left="0.25" right="0.25" top="0.25" bottom="0.25" header="0.3" footer="0.3"/>
  <pageSetup scale="8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J12" sqref="J12"/>
    </sheetView>
  </sheetViews>
  <sheetFormatPr defaultRowHeight="15" x14ac:dyDescent="0.25"/>
  <cols>
    <col min="2" max="2" width="13.28515625" customWidth="1"/>
    <col min="3" max="3" width="12" customWidth="1"/>
    <col min="4" max="4" width="11.7109375" customWidth="1"/>
    <col min="5" max="5" width="15" customWidth="1"/>
    <col min="6" max="6" width="16.7109375" style="115" customWidth="1"/>
  </cols>
  <sheetData>
    <row r="1" spans="1:7" ht="15.75" thickBot="1" x14ac:dyDescent="0.3">
      <c r="A1" s="116" t="s">
        <v>0</v>
      </c>
      <c r="B1" s="117" t="s">
        <v>644</v>
      </c>
      <c r="C1" s="117" t="s">
        <v>642</v>
      </c>
      <c r="D1" s="117" t="s">
        <v>643</v>
      </c>
      <c r="E1" s="118" t="s">
        <v>645</v>
      </c>
      <c r="F1" s="114" t="s">
        <v>646</v>
      </c>
    </row>
    <row r="2" spans="1:7" x14ac:dyDescent="0.25">
      <c r="A2" s="94">
        <v>182</v>
      </c>
      <c r="B2" s="119">
        <v>42440</v>
      </c>
      <c r="C2" s="95">
        <v>0.875</v>
      </c>
      <c r="D2" s="120">
        <v>0.54166666666666663</v>
      </c>
      <c r="E2" s="119">
        <v>42440</v>
      </c>
      <c r="F2" s="121">
        <v>0.49305555555555558</v>
      </c>
      <c r="G2" t="s">
        <v>647</v>
      </c>
    </row>
    <row r="3" spans="1:7" x14ac:dyDescent="0.25">
      <c r="A3" s="9">
        <v>183</v>
      </c>
      <c r="B3" s="105">
        <v>42441</v>
      </c>
      <c r="C3" s="46">
        <v>0</v>
      </c>
      <c r="D3" s="106">
        <v>0.66666666666666663</v>
      </c>
      <c r="E3" s="105">
        <v>42440</v>
      </c>
      <c r="F3" s="122">
        <v>0.61805555555555558</v>
      </c>
      <c r="G3" t="s">
        <v>647</v>
      </c>
    </row>
    <row r="4" spans="1:7" x14ac:dyDescent="0.25">
      <c r="A4" s="24">
        <v>184</v>
      </c>
      <c r="B4" s="105">
        <v>42441</v>
      </c>
      <c r="C4" s="46">
        <v>0.125</v>
      </c>
      <c r="D4" s="106">
        <v>0.79166666666666663</v>
      </c>
      <c r="E4" s="105">
        <v>42440</v>
      </c>
      <c r="F4" s="122">
        <v>0.74305555555555547</v>
      </c>
      <c r="G4" t="s">
        <v>647</v>
      </c>
    </row>
    <row r="5" spans="1:7" x14ac:dyDescent="0.25">
      <c r="A5" s="24">
        <v>185</v>
      </c>
      <c r="B5" s="105">
        <v>42441</v>
      </c>
      <c r="C5" s="46">
        <v>0.25</v>
      </c>
      <c r="D5" s="106">
        <v>0.91666666666666663</v>
      </c>
      <c r="E5" s="105">
        <v>42440</v>
      </c>
      <c r="F5" s="122">
        <v>0.86805555555555547</v>
      </c>
      <c r="G5" t="s">
        <v>647</v>
      </c>
    </row>
    <row r="6" spans="1:7" x14ac:dyDescent="0.25">
      <c r="A6" s="24">
        <v>186</v>
      </c>
      <c r="B6" s="105">
        <v>42441</v>
      </c>
      <c r="C6" s="46">
        <v>0.375</v>
      </c>
      <c r="D6" s="106">
        <v>4.1666666666666664E-2</v>
      </c>
      <c r="E6" s="105">
        <v>42441</v>
      </c>
      <c r="F6" s="122">
        <v>0.99305555555555547</v>
      </c>
      <c r="G6" t="s">
        <v>647</v>
      </c>
    </row>
    <row r="7" spans="1:7" x14ac:dyDescent="0.25">
      <c r="A7" s="24">
        <v>187</v>
      </c>
      <c r="B7" s="105">
        <v>42441</v>
      </c>
      <c r="C7" s="46">
        <v>0.5</v>
      </c>
      <c r="D7" s="106">
        <v>0.16666666666666666</v>
      </c>
      <c r="E7" s="105">
        <v>42441</v>
      </c>
      <c r="F7" s="122">
        <v>0.11805555555555557</v>
      </c>
      <c r="G7" t="s">
        <v>648</v>
      </c>
    </row>
    <row r="8" spans="1:7" x14ac:dyDescent="0.25">
      <c r="A8" s="24">
        <v>188</v>
      </c>
      <c r="B8" s="105">
        <v>42441</v>
      </c>
      <c r="C8" s="46">
        <v>0.625</v>
      </c>
      <c r="D8" s="106">
        <v>0.29166666666666669</v>
      </c>
      <c r="E8" s="105">
        <v>42441</v>
      </c>
      <c r="F8" s="122">
        <v>0.24305555555555555</v>
      </c>
      <c r="G8" t="s">
        <v>648</v>
      </c>
    </row>
    <row r="9" spans="1:7" x14ac:dyDescent="0.25">
      <c r="A9" s="24">
        <v>189</v>
      </c>
      <c r="B9" s="105">
        <v>42441</v>
      </c>
      <c r="C9" s="46">
        <v>0.75</v>
      </c>
      <c r="D9" s="106">
        <v>0.41666666666666669</v>
      </c>
      <c r="E9" s="105">
        <v>42441</v>
      </c>
      <c r="F9" s="122">
        <v>0.36805555555555558</v>
      </c>
      <c r="G9" t="s">
        <v>648</v>
      </c>
    </row>
    <row r="10" spans="1:7" x14ac:dyDescent="0.25">
      <c r="A10" s="24">
        <v>190</v>
      </c>
      <c r="B10" s="105">
        <v>42441</v>
      </c>
      <c r="C10" s="46">
        <v>0.875</v>
      </c>
      <c r="D10" s="106">
        <v>0.54166666666666663</v>
      </c>
      <c r="E10" s="105">
        <v>42441</v>
      </c>
      <c r="F10" s="122">
        <v>0.49305555555555558</v>
      </c>
      <c r="G10" t="s">
        <v>648</v>
      </c>
    </row>
    <row r="11" spans="1:7" x14ac:dyDescent="0.25">
      <c r="A11" s="110">
        <v>191</v>
      </c>
      <c r="B11" s="111">
        <v>42442</v>
      </c>
      <c r="C11" s="112">
        <v>0</v>
      </c>
      <c r="D11" s="113">
        <v>0.66666666666666663</v>
      </c>
      <c r="E11" s="111">
        <v>42441</v>
      </c>
      <c r="F11" s="123">
        <v>0.61805555555555558</v>
      </c>
      <c r="G11" t="s">
        <v>648</v>
      </c>
    </row>
    <row r="12" spans="1:7" x14ac:dyDescent="0.25">
      <c r="A12" s="24">
        <v>192</v>
      </c>
      <c r="B12" s="105">
        <v>42442</v>
      </c>
      <c r="C12" s="46">
        <v>0.25</v>
      </c>
      <c r="D12" s="106">
        <v>0.91666666666666663</v>
      </c>
      <c r="E12" s="105">
        <v>42441</v>
      </c>
      <c r="F12" s="122">
        <v>0.86805555555555547</v>
      </c>
      <c r="G12" t="s">
        <v>648</v>
      </c>
    </row>
    <row r="13" spans="1:7" x14ac:dyDescent="0.25">
      <c r="A13" s="24">
        <v>193</v>
      </c>
      <c r="B13" s="105">
        <v>42442</v>
      </c>
      <c r="C13" s="106">
        <v>0.5</v>
      </c>
      <c r="D13" s="106">
        <v>0.16666666666666666</v>
      </c>
      <c r="E13" s="105">
        <v>42442</v>
      </c>
      <c r="F13" s="122">
        <v>0.11805555555555557</v>
      </c>
      <c r="G13" t="s">
        <v>649</v>
      </c>
    </row>
    <row r="14" spans="1:7" x14ac:dyDescent="0.25">
      <c r="A14" s="24">
        <v>194</v>
      </c>
      <c r="B14" s="105">
        <v>42442</v>
      </c>
      <c r="C14" s="106">
        <v>0.75</v>
      </c>
      <c r="D14" s="106">
        <v>0.41666666666666669</v>
      </c>
      <c r="E14" s="105">
        <v>42442</v>
      </c>
      <c r="F14" s="122">
        <v>0.36805555555555558</v>
      </c>
      <c r="G14" t="s">
        <v>649</v>
      </c>
    </row>
    <row r="15" spans="1:7" x14ac:dyDescent="0.25">
      <c r="A15" s="24">
        <v>195</v>
      </c>
      <c r="B15" s="105">
        <v>42443</v>
      </c>
      <c r="C15" s="46">
        <v>0</v>
      </c>
      <c r="D15" s="106">
        <v>0.66666666666666663</v>
      </c>
      <c r="E15" s="105">
        <v>42442</v>
      </c>
      <c r="F15" s="122">
        <v>0.61805555555555558</v>
      </c>
      <c r="G15" t="s">
        <v>649</v>
      </c>
    </row>
    <row r="16" spans="1:7" x14ac:dyDescent="0.25">
      <c r="A16" s="24">
        <v>196</v>
      </c>
      <c r="B16" s="105">
        <v>42443</v>
      </c>
      <c r="C16" s="46">
        <v>0.25</v>
      </c>
      <c r="D16" s="107">
        <v>0.91666666666666663</v>
      </c>
      <c r="E16" s="105">
        <v>42442</v>
      </c>
      <c r="F16" s="122">
        <v>0.86805555555555547</v>
      </c>
      <c r="G16" t="s">
        <v>649</v>
      </c>
    </row>
    <row r="17" spans="1:7" x14ac:dyDescent="0.25">
      <c r="A17" s="24">
        <v>197</v>
      </c>
      <c r="B17" s="105">
        <v>42443</v>
      </c>
      <c r="C17" s="106">
        <v>0.5</v>
      </c>
      <c r="D17" s="106">
        <v>0.16666666666666666</v>
      </c>
      <c r="E17" s="105">
        <v>42443</v>
      </c>
      <c r="F17" s="122">
        <v>0.11805555555555557</v>
      </c>
      <c r="G17" t="s">
        <v>653</v>
      </c>
    </row>
    <row r="18" spans="1:7" x14ac:dyDescent="0.25">
      <c r="A18" s="24">
        <v>198</v>
      </c>
      <c r="B18" s="105">
        <v>42443</v>
      </c>
      <c r="C18" s="106">
        <v>0.75</v>
      </c>
      <c r="D18" s="106">
        <v>0.41666666666666669</v>
      </c>
      <c r="E18" s="105">
        <v>42443</v>
      </c>
      <c r="F18" s="122">
        <v>0.36805555555555558</v>
      </c>
      <c r="G18" t="s">
        <v>653</v>
      </c>
    </row>
    <row r="19" spans="1:7" x14ac:dyDescent="0.25">
      <c r="A19" s="24">
        <v>199</v>
      </c>
      <c r="B19" s="105">
        <v>42444</v>
      </c>
      <c r="C19" s="46">
        <v>0</v>
      </c>
      <c r="D19" s="106">
        <v>0.66666666666666663</v>
      </c>
      <c r="E19" s="105">
        <v>42443</v>
      </c>
      <c r="F19" s="122">
        <v>0.61805555555555558</v>
      </c>
      <c r="G19" t="s">
        <v>653</v>
      </c>
    </row>
    <row r="20" spans="1:7" x14ac:dyDescent="0.25">
      <c r="A20" s="24">
        <v>200</v>
      </c>
      <c r="B20" s="105">
        <v>42444</v>
      </c>
      <c r="C20" s="46">
        <v>0.25</v>
      </c>
      <c r="D20" s="107">
        <v>0.91666666666666663</v>
      </c>
      <c r="E20" s="105">
        <v>42443</v>
      </c>
      <c r="F20" s="122">
        <v>0.86805555555555547</v>
      </c>
      <c r="G20" t="s">
        <v>653</v>
      </c>
    </row>
    <row r="21" spans="1:7" x14ac:dyDescent="0.25">
      <c r="A21" s="24">
        <v>201</v>
      </c>
      <c r="B21" s="105">
        <v>42444</v>
      </c>
      <c r="C21" s="106">
        <v>0.5</v>
      </c>
      <c r="D21" s="106">
        <v>0.16666666666666666</v>
      </c>
      <c r="E21" s="105">
        <v>42444</v>
      </c>
      <c r="F21" s="122">
        <v>0.11805555555555557</v>
      </c>
      <c r="G21" t="s">
        <v>650</v>
      </c>
    </row>
    <row r="22" spans="1:7" x14ac:dyDescent="0.25">
      <c r="A22" s="24">
        <v>202</v>
      </c>
      <c r="B22" s="105">
        <v>42444</v>
      </c>
      <c r="C22" s="106">
        <v>0.75</v>
      </c>
      <c r="D22" s="106">
        <v>0.41666666666666669</v>
      </c>
      <c r="E22" s="105">
        <v>42444</v>
      </c>
      <c r="F22" s="122">
        <v>0.36805555555555558</v>
      </c>
      <c r="G22" t="s">
        <v>650</v>
      </c>
    </row>
    <row r="23" spans="1:7" x14ac:dyDescent="0.25">
      <c r="A23" s="24">
        <v>203</v>
      </c>
      <c r="B23" s="105">
        <v>42445</v>
      </c>
      <c r="C23" s="46">
        <v>0</v>
      </c>
      <c r="D23" s="106">
        <v>0.66666666666666663</v>
      </c>
      <c r="E23" s="105">
        <v>42444</v>
      </c>
      <c r="F23" s="122">
        <v>0.61805555555555558</v>
      </c>
      <c r="G23" t="s">
        <v>650</v>
      </c>
    </row>
    <row r="24" spans="1:7" x14ac:dyDescent="0.25">
      <c r="A24" s="24">
        <v>204</v>
      </c>
      <c r="B24" s="105">
        <v>42445</v>
      </c>
      <c r="C24" s="46">
        <v>0.25</v>
      </c>
      <c r="D24" s="107">
        <v>0.91666666666666663</v>
      </c>
      <c r="E24" s="105">
        <v>42444</v>
      </c>
      <c r="F24" s="122">
        <v>0.86805555555555547</v>
      </c>
      <c r="G24" t="s">
        <v>650</v>
      </c>
    </row>
    <row r="25" spans="1:7" x14ac:dyDescent="0.25">
      <c r="A25" s="24">
        <v>205</v>
      </c>
      <c r="B25" s="105">
        <v>42445</v>
      </c>
      <c r="C25" s="106">
        <v>0.5</v>
      </c>
      <c r="D25" s="106">
        <v>0.16666666666666666</v>
      </c>
      <c r="E25" s="105">
        <v>42445</v>
      </c>
      <c r="F25" s="122">
        <v>0.11805555555555557</v>
      </c>
      <c r="G25" t="s">
        <v>651</v>
      </c>
    </row>
    <row r="26" spans="1:7" x14ac:dyDescent="0.25">
      <c r="A26" s="24">
        <v>206</v>
      </c>
      <c r="B26" s="105">
        <v>42445</v>
      </c>
      <c r="C26" s="106">
        <v>0.75</v>
      </c>
      <c r="D26" s="106">
        <v>0.41666666666666669</v>
      </c>
      <c r="E26" s="105">
        <v>42445</v>
      </c>
      <c r="F26" s="122">
        <v>0.36805555555555558</v>
      </c>
      <c r="G26" t="s">
        <v>651</v>
      </c>
    </row>
    <row r="27" spans="1:7" x14ac:dyDescent="0.25">
      <c r="A27" s="24">
        <v>207</v>
      </c>
      <c r="B27" s="105">
        <v>42446</v>
      </c>
      <c r="C27" s="46">
        <v>0</v>
      </c>
      <c r="D27" s="106">
        <v>0.66666666666666663</v>
      </c>
      <c r="E27" s="105">
        <v>42445</v>
      </c>
      <c r="F27" s="122">
        <v>0.61805555555555558</v>
      </c>
      <c r="G27" t="s">
        <v>651</v>
      </c>
    </row>
    <row r="28" spans="1:7" x14ac:dyDescent="0.25">
      <c r="A28" s="24">
        <v>208</v>
      </c>
      <c r="B28" s="105">
        <v>42446</v>
      </c>
      <c r="C28" s="46">
        <v>0.25</v>
      </c>
      <c r="D28" s="107">
        <v>0.91666666666666663</v>
      </c>
      <c r="E28" s="105">
        <v>42445</v>
      </c>
      <c r="F28" s="122">
        <v>0.86805555555555547</v>
      </c>
      <c r="G28" t="s">
        <v>651</v>
      </c>
    </row>
    <row r="29" spans="1:7" x14ac:dyDescent="0.25">
      <c r="A29" s="24">
        <v>209</v>
      </c>
      <c r="B29" s="105">
        <v>42446</v>
      </c>
      <c r="C29" s="106">
        <v>0.5</v>
      </c>
      <c r="D29" s="106">
        <v>0.16666666666666666</v>
      </c>
      <c r="E29" s="105">
        <v>42446</v>
      </c>
      <c r="F29" s="122">
        <v>0.11805555555555557</v>
      </c>
      <c r="G29" t="s">
        <v>652</v>
      </c>
    </row>
    <row r="30" spans="1:7" x14ac:dyDescent="0.25">
      <c r="A30" s="24">
        <v>210</v>
      </c>
      <c r="B30" s="105">
        <v>42446</v>
      </c>
      <c r="C30" s="106">
        <v>0.75</v>
      </c>
      <c r="D30" s="106">
        <v>0.41666666666666669</v>
      </c>
      <c r="E30" s="105">
        <v>42446</v>
      </c>
      <c r="F30" s="122">
        <v>0.36805555555555558</v>
      </c>
      <c r="G30" t="s">
        <v>652</v>
      </c>
    </row>
    <row r="31" spans="1:7" ht="15.75" thickBot="1" x14ac:dyDescent="0.3">
      <c r="A31" s="25">
        <v>211</v>
      </c>
      <c r="B31" s="108">
        <v>42447</v>
      </c>
      <c r="C31" s="109">
        <v>0</v>
      </c>
      <c r="D31" s="109">
        <v>0.66666666666666663</v>
      </c>
      <c r="E31" s="108">
        <v>42446</v>
      </c>
      <c r="F31" s="124">
        <v>0.61805555555555558</v>
      </c>
      <c r="G31" t="s">
        <v>652</v>
      </c>
    </row>
  </sheetData>
  <pageMargins left="0.7" right="0.7" top="0.75" bottom="0.75" header="0.3" footer="0.3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3" workbookViewId="0">
      <selection activeCell="A2" sqref="A2:J33"/>
    </sheetView>
  </sheetViews>
  <sheetFormatPr defaultRowHeight="12.75" x14ac:dyDescent="0.2"/>
  <cols>
    <col min="1" max="1" width="8.140625" style="7" customWidth="1"/>
    <col min="2" max="2" width="6.7109375" style="32" customWidth="1"/>
    <col min="3" max="3" width="9.140625" style="7"/>
    <col min="4" max="4" width="15.7109375" style="17" customWidth="1"/>
    <col min="5" max="5" width="9.140625" style="7"/>
    <col min="6" max="6" width="6.5703125" style="7" customWidth="1"/>
    <col min="7" max="7" width="7.140625" style="79" customWidth="1"/>
    <col min="8" max="8" width="11.140625" style="7" customWidth="1"/>
    <col min="9" max="10" width="12.28515625" style="33" customWidth="1"/>
    <col min="11" max="12" width="9.140625" style="7"/>
    <col min="13" max="13" width="23.85546875" style="7" customWidth="1"/>
    <col min="14" max="14" width="9.140625" style="17"/>
    <col min="15" max="15" width="12" style="7" customWidth="1"/>
    <col min="16" max="16384" width="9.140625" style="7"/>
  </cols>
  <sheetData>
    <row r="1" spans="1:15" ht="13.5" thickBot="1" x14ac:dyDescent="0.25">
      <c r="A1" s="68" t="s">
        <v>0</v>
      </c>
      <c r="B1" s="64" t="s">
        <v>10</v>
      </c>
      <c r="C1" s="63" t="s">
        <v>1</v>
      </c>
      <c r="D1" s="69" t="s">
        <v>19</v>
      </c>
      <c r="E1" s="63" t="s">
        <v>2</v>
      </c>
      <c r="F1" s="63" t="s">
        <v>3</v>
      </c>
      <c r="G1" s="69" t="s">
        <v>300</v>
      </c>
      <c r="H1" s="63" t="s">
        <v>6</v>
      </c>
      <c r="I1" s="81" t="s">
        <v>5</v>
      </c>
      <c r="J1" s="81" t="s">
        <v>72</v>
      </c>
      <c r="K1" s="63" t="s">
        <v>7</v>
      </c>
      <c r="L1" s="63" t="s">
        <v>8</v>
      </c>
      <c r="M1" s="82" t="s">
        <v>12</v>
      </c>
      <c r="N1" s="8" t="s">
        <v>25</v>
      </c>
      <c r="O1" s="7" t="s">
        <v>175</v>
      </c>
    </row>
    <row r="2" spans="1:15" x14ac:dyDescent="0.2">
      <c r="A2" s="9">
        <v>33</v>
      </c>
      <c r="B2" s="46">
        <v>0.375</v>
      </c>
      <c r="C2" s="11" t="s">
        <v>115</v>
      </c>
      <c r="D2" s="12" t="s">
        <v>116</v>
      </c>
      <c r="E2" s="11">
        <v>26510</v>
      </c>
      <c r="F2" s="11">
        <v>19.5</v>
      </c>
      <c r="G2" s="73" t="s">
        <v>27</v>
      </c>
      <c r="H2" s="11">
        <v>6276</v>
      </c>
      <c r="I2" s="14">
        <f t="shared" ref="I2:I11" si="0">H2/60/60</f>
        <v>1.7433333333333332</v>
      </c>
      <c r="J2" s="14">
        <f>6966/60/60</f>
        <v>1.9349999999999998</v>
      </c>
      <c r="K2" s="11">
        <v>-0.06</v>
      </c>
      <c r="L2" s="11">
        <v>0.15</v>
      </c>
      <c r="M2" s="15" t="s">
        <v>117</v>
      </c>
      <c r="N2" s="8" t="s">
        <v>107</v>
      </c>
    </row>
    <row r="3" spans="1:15" x14ac:dyDescent="0.2">
      <c r="A3" s="9">
        <v>34</v>
      </c>
      <c r="B3" s="46">
        <v>0.5</v>
      </c>
      <c r="C3" s="11" t="s">
        <v>118</v>
      </c>
      <c r="D3" s="12" t="s">
        <v>119</v>
      </c>
      <c r="E3" s="11">
        <v>24842</v>
      </c>
      <c r="F3" s="11">
        <v>25.2</v>
      </c>
      <c r="G3" s="73" t="s">
        <v>27</v>
      </c>
      <c r="H3" s="11">
        <v>5132</v>
      </c>
      <c r="I3" s="14">
        <f t="shared" si="0"/>
        <v>1.4255555555555555</v>
      </c>
      <c r="J3" s="14">
        <f>5878/60/60</f>
        <v>1.6327777777777779</v>
      </c>
      <c r="K3" s="11">
        <v>-0.3</v>
      </c>
      <c r="L3" s="11">
        <v>0.06</v>
      </c>
      <c r="M3" s="15" t="s">
        <v>117</v>
      </c>
      <c r="N3" s="8" t="s">
        <v>107</v>
      </c>
    </row>
    <row r="4" spans="1:15" x14ac:dyDescent="0.2">
      <c r="A4" s="24">
        <v>35</v>
      </c>
      <c r="B4" s="46">
        <v>0.625</v>
      </c>
      <c r="C4" s="40" t="s">
        <v>121</v>
      </c>
      <c r="D4" s="47" t="s">
        <v>120</v>
      </c>
      <c r="E4" s="40">
        <v>18514</v>
      </c>
      <c r="F4" s="40">
        <v>72.3</v>
      </c>
      <c r="G4" s="74" t="s">
        <v>27</v>
      </c>
      <c r="H4" s="40">
        <v>4426</v>
      </c>
      <c r="I4" s="14">
        <f t="shared" si="0"/>
        <v>1.2294444444444443</v>
      </c>
      <c r="J4" s="14">
        <f>4426/60/60</f>
        <v>1.2294444444444443</v>
      </c>
      <c r="K4" s="40">
        <v>-0.12</v>
      </c>
      <c r="L4" s="40">
        <v>0.17</v>
      </c>
      <c r="M4" s="50" t="s">
        <v>122</v>
      </c>
      <c r="N4" s="8" t="s">
        <v>40</v>
      </c>
    </row>
    <row r="5" spans="1:15" x14ac:dyDescent="0.2">
      <c r="A5" s="24">
        <v>36</v>
      </c>
      <c r="B5" s="46">
        <v>0.75</v>
      </c>
      <c r="C5" s="40" t="s">
        <v>136</v>
      </c>
      <c r="D5" s="47" t="s">
        <v>137</v>
      </c>
      <c r="E5" s="40">
        <v>18514</v>
      </c>
      <c r="F5" s="40">
        <v>72.3</v>
      </c>
      <c r="G5" s="74" t="s">
        <v>27</v>
      </c>
      <c r="H5" s="40">
        <v>4426</v>
      </c>
      <c r="I5" s="14">
        <f t="shared" si="0"/>
        <v>1.2294444444444443</v>
      </c>
      <c r="J5" s="14">
        <f>4426/60/60</f>
        <v>1.2294444444444443</v>
      </c>
      <c r="K5" s="40">
        <v>-0.12</v>
      </c>
      <c r="L5" s="40">
        <v>0.13</v>
      </c>
      <c r="M5" s="50" t="s">
        <v>125</v>
      </c>
      <c r="N5" s="8" t="s">
        <v>40</v>
      </c>
    </row>
    <row r="6" spans="1:15" x14ac:dyDescent="0.2">
      <c r="A6" s="24">
        <v>37</v>
      </c>
      <c r="B6" s="46">
        <v>0.875</v>
      </c>
      <c r="C6" s="40" t="s">
        <v>123</v>
      </c>
      <c r="D6" s="47" t="s">
        <v>124</v>
      </c>
      <c r="E6" s="40">
        <v>16806</v>
      </c>
      <c r="F6" s="40">
        <v>98.2</v>
      </c>
      <c r="G6" s="74" t="s">
        <v>27</v>
      </c>
      <c r="H6" s="40">
        <v>4136</v>
      </c>
      <c r="I6" s="14">
        <f t="shared" si="0"/>
        <v>1.1488888888888888</v>
      </c>
      <c r="J6" s="14">
        <f>4136/60/60</f>
        <v>1.1488888888888888</v>
      </c>
      <c r="K6" s="40">
        <v>-0.12</v>
      </c>
      <c r="L6" s="40">
        <v>0.13</v>
      </c>
      <c r="M6" s="50" t="s">
        <v>125</v>
      </c>
      <c r="N6" s="17" t="s">
        <v>40</v>
      </c>
    </row>
    <row r="7" spans="1:15" x14ac:dyDescent="0.2">
      <c r="A7" s="24">
        <v>38</v>
      </c>
      <c r="B7" s="46">
        <v>0</v>
      </c>
      <c r="C7" s="40" t="s">
        <v>126</v>
      </c>
      <c r="D7" s="47" t="s">
        <v>127</v>
      </c>
      <c r="E7" s="40">
        <v>21593</v>
      </c>
      <c r="F7" s="40">
        <v>42.7</v>
      </c>
      <c r="G7" s="74" t="s">
        <v>27</v>
      </c>
      <c r="H7" s="40">
        <v>4714</v>
      </c>
      <c r="I7" s="49">
        <f t="shared" si="0"/>
        <v>1.3094444444444444</v>
      </c>
      <c r="J7" s="14">
        <f>4714/60/60</f>
        <v>1.3094444444444444</v>
      </c>
      <c r="K7" s="40">
        <v>0.13</v>
      </c>
      <c r="L7" s="40">
        <v>-0.15</v>
      </c>
      <c r="M7" s="50" t="s">
        <v>132</v>
      </c>
      <c r="N7" s="17" t="s">
        <v>128</v>
      </c>
    </row>
    <row r="8" spans="1:15" x14ac:dyDescent="0.2">
      <c r="A8" s="24">
        <v>39</v>
      </c>
      <c r="B8" s="46">
        <v>0.125</v>
      </c>
      <c r="C8" s="40" t="s">
        <v>133</v>
      </c>
      <c r="D8" s="47" t="s">
        <v>134</v>
      </c>
      <c r="E8" s="40">
        <v>20200</v>
      </c>
      <c r="F8" s="40">
        <v>54</v>
      </c>
      <c r="G8" s="74" t="s">
        <v>48</v>
      </c>
      <c r="H8" s="40">
        <v>4744</v>
      </c>
      <c r="I8" s="49">
        <f t="shared" si="0"/>
        <v>1.3177777777777777</v>
      </c>
      <c r="J8" s="14">
        <f>4744/60/60</f>
        <v>1.3177777777777777</v>
      </c>
      <c r="K8" s="40">
        <v>-0.1</v>
      </c>
      <c r="L8" s="40">
        <v>0.04</v>
      </c>
      <c r="M8" s="50" t="s">
        <v>135</v>
      </c>
      <c r="N8" s="17" t="s">
        <v>129</v>
      </c>
    </row>
    <row r="9" spans="1:15" x14ac:dyDescent="0.2">
      <c r="A9" s="24">
        <v>40</v>
      </c>
      <c r="B9" s="46">
        <v>0.25</v>
      </c>
      <c r="C9" s="40" t="s">
        <v>138</v>
      </c>
      <c r="D9" s="47" t="s">
        <v>139</v>
      </c>
      <c r="E9" s="40">
        <v>25514</v>
      </c>
      <c r="F9" s="40">
        <v>22.8</v>
      </c>
      <c r="G9" s="74" t="s">
        <v>27</v>
      </c>
      <c r="H9" s="40">
        <v>5232</v>
      </c>
      <c r="I9" s="49">
        <f t="shared" si="0"/>
        <v>1.4533333333333334</v>
      </c>
      <c r="J9" s="14">
        <f>5232/60/60</f>
        <v>1.4533333333333334</v>
      </c>
      <c r="K9" s="40">
        <v>-0.16</v>
      </c>
      <c r="L9" s="40">
        <v>-0.01</v>
      </c>
      <c r="M9" s="50" t="s">
        <v>140</v>
      </c>
      <c r="N9" s="17" t="s">
        <v>129</v>
      </c>
    </row>
    <row r="10" spans="1:15" x14ac:dyDescent="0.2">
      <c r="A10" s="24">
        <v>41</v>
      </c>
      <c r="B10" s="46">
        <v>0.375</v>
      </c>
      <c r="C10" s="40" t="s">
        <v>141</v>
      </c>
      <c r="D10" s="47" t="s">
        <v>142</v>
      </c>
      <c r="E10" s="40">
        <v>26603</v>
      </c>
      <c r="F10" s="40">
        <v>19.3</v>
      </c>
      <c r="G10" s="80" t="s">
        <v>27</v>
      </c>
      <c r="H10" s="40">
        <v>5302</v>
      </c>
      <c r="I10" s="49">
        <f t="shared" si="0"/>
        <v>1.4727777777777777</v>
      </c>
      <c r="J10" s="14">
        <f>5302/60/60</f>
        <v>1.4727777777777777</v>
      </c>
      <c r="K10" s="40">
        <v>-0.2</v>
      </c>
      <c r="L10" s="40">
        <v>0.1</v>
      </c>
      <c r="M10" s="50" t="s">
        <v>143</v>
      </c>
      <c r="N10" s="17" t="s">
        <v>129</v>
      </c>
    </row>
    <row r="11" spans="1:15" x14ac:dyDescent="0.2">
      <c r="A11" s="24">
        <v>42</v>
      </c>
      <c r="B11" s="46">
        <v>0.5</v>
      </c>
      <c r="C11" s="40" t="s">
        <v>144</v>
      </c>
      <c r="D11" s="47" t="s">
        <v>146</v>
      </c>
      <c r="E11" s="40">
        <v>2830</v>
      </c>
      <c r="F11" s="40">
        <v>726.8</v>
      </c>
      <c r="G11" s="74" t="s">
        <v>27</v>
      </c>
      <c r="H11" s="40">
        <v>658</v>
      </c>
      <c r="I11" s="49">
        <f t="shared" si="0"/>
        <v>0.18277777777777779</v>
      </c>
      <c r="J11" s="14">
        <f>658/60/60</f>
        <v>0.18277777777777779</v>
      </c>
      <c r="K11" s="40">
        <v>-0.12</v>
      </c>
      <c r="L11" s="40">
        <v>0.1</v>
      </c>
      <c r="M11" s="50" t="s">
        <v>153</v>
      </c>
      <c r="N11" s="17" t="s">
        <v>129</v>
      </c>
    </row>
    <row r="12" spans="1:15" x14ac:dyDescent="0.2">
      <c r="A12" s="18">
        <v>43</v>
      </c>
      <c r="B12" s="19">
        <v>0.625</v>
      </c>
      <c r="C12" s="20" t="s">
        <v>145</v>
      </c>
      <c r="D12" s="21" t="s">
        <v>147</v>
      </c>
      <c r="E12" s="20"/>
      <c r="F12" s="20"/>
      <c r="G12" s="76"/>
      <c r="H12" s="20"/>
      <c r="I12" s="22"/>
      <c r="J12" s="22"/>
      <c r="K12" s="22">
        <v>-0.04</v>
      </c>
      <c r="L12" s="20">
        <v>0.13</v>
      </c>
      <c r="M12" s="23" t="s">
        <v>150</v>
      </c>
      <c r="N12" s="17" t="s">
        <v>130</v>
      </c>
    </row>
    <row r="13" spans="1:15" x14ac:dyDescent="0.2">
      <c r="A13" s="24">
        <v>44</v>
      </c>
      <c r="B13" s="46">
        <v>0.75</v>
      </c>
      <c r="C13" s="40" t="s">
        <v>148</v>
      </c>
      <c r="D13" s="47" t="s">
        <v>177</v>
      </c>
      <c r="E13" s="40">
        <v>26025</v>
      </c>
      <c r="F13" s="40">
        <v>21.1</v>
      </c>
      <c r="G13" s="74" t="s">
        <v>48</v>
      </c>
      <c r="H13" s="40">
        <v>4864</v>
      </c>
      <c r="I13" s="49">
        <f t="shared" ref="I13:I29" si="1">H13/60/60</f>
        <v>1.3511111111111112</v>
      </c>
      <c r="J13" s="49">
        <f>5858/60/60</f>
        <v>1.6272222222222223</v>
      </c>
      <c r="K13" s="49">
        <f>I19-0.04</f>
        <v>1.6238888888888887</v>
      </c>
      <c r="L13" s="40">
        <v>0.13</v>
      </c>
      <c r="M13" s="50" t="s">
        <v>149</v>
      </c>
      <c r="N13" s="17" t="s">
        <v>130</v>
      </c>
      <c r="O13" s="7" t="s">
        <v>176</v>
      </c>
    </row>
    <row r="14" spans="1:15" x14ac:dyDescent="0.2">
      <c r="A14" s="24">
        <v>45</v>
      </c>
      <c r="B14" s="46">
        <v>0.875</v>
      </c>
      <c r="C14" s="40" t="s">
        <v>151</v>
      </c>
      <c r="D14" s="47" t="s">
        <v>180</v>
      </c>
      <c r="E14" s="40">
        <v>28021</v>
      </c>
      <c r="F14" s="40">
        <v>15.4</v>
      </c>
      <c r="G14" s="74" t="s">
        <v>27</v>
      </c>
      <c r="H14" s="40">
        <v>5698</v>
      </c>
      <c r="I14" s="49">
        <f t="shared" si="1"/>
        <v>1.5827777777777778</v>
      </c>
      <c r="J14" s="49">
        <f>6656/60/60</f>
        <v>1.848888888888889</v>
      </c>
      <c r="K14" s="40">
        <v>-7.0000000000000007E-2</v>
      </c>
      <c r="L14" s="40">
        <v>0.1</v>
      </c>
      <c r="M14" s="50" t="s">
        <v>149</v>
      </c>
      <c r="N14" s="17" t="s">
        <v>130</v>
      </c>
      <c r="O14" s="7" t="s">
        <v>176</v>
      </c>
    </row>
    <row r="15" spans="1:15" x14ac:dyDescent="0.2">
      <c r="A15" s="24">
        <v>46</v>
      </c>
      <c r="B15" s="46">
        <v>0</v>
      </c>
      <c r="C15" s="40" t="s">
        <v>152</v>
      </c>
      <c r="D15" s="47" t="s">
        <v>181</v>
      </c>
      <c r="E15" s="40">
        <v>24403</v>
      </c>
      <c r="F15" s="40">
        <v>27.1</v>
      </c>
      <c r="G15" s="74" t="s">
        <v>27</v>
      </c>
      <c r="H15" s="40">
        <v>5970</v>
      </c>
      <c r="I15" s="49">
        <f t="shared" si="1"/>
        <v>1.6583333333333334</v>
      </c>
      <c r="J15" s="49">
        <f>7416/60/60</f>
        <v>2.06</v>
      </c>
      <c r="K15" s="40">
        <v>-0.09</v>
      </c>
      <c r="L15" s="40">
        <v>-0.04</v>
      </c>
      <c r="M15" s="50" t="s">
        <v>149</v>
      </c>
      <c r="N15" s="17" t="s">
        <v>130</v>
      </c>
      <c r="O15" s="7" t="s">
        <v>176</v>
      </c>
    </row>
    <row r="16" spans="1:15" x14ac:dyDescent="0.2">
      <c r="A16" s="24">
        <v>47</v>
      </c>
      <c r="B16" s="46">
        <v>0.125</v>
      </c>
      <c r="C16" s="40" t="s">
        <v>154</v>
      </c>
      <c r="D16" s="47" t="s">
        <v>186</v>
      </c>
      <c r="E16" s="40">
        <v>26672</v>
      </c>
      <c r="F16" s="40">
        <v>19</v>
      </c>
      <c r="G16" s="74" t="s">
        <v>48</v>
      </c>
      <c r="H16" s="40">
        <v>6142</v>
      </c>
      <c r="I16" s="49">
        <f t="shared" si="1"/>
        <v>1.7061111111111109</v>
      </c>
      <c r="J16" s="49">
        <f>7140/60/60</f>
        <v>1.9833333333333334</v>
      </c>
      <c r="K16" s="40">
        <v>-0.24</v>
      </c>
      <c r="L16" s="40">
        <v>0.19</v>
      </c>
      <c r="M16" s="50" t="s">
        <v>155</v>
      </c>
      <c r="N16" s="17" t="s">
        <v>131</v>
      </c>
      <c r="O16" s="7" t="s">
        <v>176</v>
      </c>
    </row>
    <row r="17" spans="1:15" x14ac:dyDescent="0.2">
      <c r="A17" s="24">
        <v>48</v>
      </c>
      <c r="B17" s="46">
        <v>0.25</v>
      </c>
      <c r="C17" s="40" t="s">
        <v>156</v>
      </c>
      <c r="D17" s="47" t="s">
        <v>188</v>
      </c>
      <c r="E17" s="40">
        <v>28289</v>
      </c>
      <c r="F17" s="40">
        <v>14.7</v>
      </c>
      <c r="G17" s="74" t="s">
        <v>26</v>
      </c>
      <c r="H17" s="40">
        <v>8052</v>
      </c>
      <c r="I17" s="49">
        <f t="shared" si="1"/>
        <v>2.2366666666666664</v>
      </c>
      <c r="J17" s="49">
        <f>7140/60/60</f>
        <v>1.9833333333333334</v>
      </c>
      <c r="K17" s="51">
        <v>-0.14000000000000001</v>
      </c>
      <c r="L17" s="40">
        <v>0.15</v>
      </c>
      <c r="M17" s="50" t="s">
        <v>159</v>
      </c>
      <c r="N17" s="17" t="s">
        <v>131</v>
      </c>
      <c r="O17" s="7" t="s">
        <v>176</v>
      </c>
    </row>
    <row r="18" spans="1:15" x14ac:dyDescent="0.2">
      <c r="A18" s="24">
        <v>49</v>
      </c>
      <c r="B18" s="46">
        <v>0.375</v>
      </c>
      <c r="C18" s="40" t="s">
        <v>157</v>
      </c>
      <c r="D18" s="47" t="s">
        <v>190</v>
      </c>
      <c r="E18" s="40">
        <v>26783</v>
      </c>
      <c r="F18" s="40">
        <v>18.7</v>
      </c>
      <c r="G18" s="74" t="s">
        <v>26</v>
      </c>
      <c r="H18" s="40">
        <v>6436</v>
      </c>
      <c r="I18" s="49">
        <f t="shared" si="1"/>
        <v>1.7877777777777777</v>
      </c>
      <c r="J18" s="49">
        <f>7140/60/60</f>
        <v>1.9833333333333334</v>
      </c>
      <c r="K18" s="40">
        <v>-0.13</v>
      </c>
      <c r="L18" s="40">
        <v>-0.12</v>
      </c>
      <c r="M18" s="50"/>
      <c r="N18" s="17" t="s">
        <v>131</v>
      </c>
      <c r="O18" s="7" t="s">
        <v>176</v>
      </c>
    </row>
    <row r="19" spans="1:15" x14ac:dyDescent="0.2">
      <c r="A19" s="24">
        <v>50</v>
      </c>
      <c r="B19" s="46">
        <v>0.5</v>
      </c>
      <c r="C19" s="40" t="s">
        <v>163</v>
      </c>
      <c r="D19" s="47" t="s">
        <v>170</v>
      </c>
      <c r="E19" s="40">
        <v>25502</v>
      </c>
      <c r="F19" s="40">
        <v>22.7</v>
      </c>
      <c r="G19" s="74" t="s">
        <v>27</v>
      </c>
      <c r="H19" s="40">
        <v>5990</v>
      </c>
      <c r="I19" s="49">
        <f t="shared" si="1"/>
        <v>1.6638888888888888</v>
      </c>
      <c r="J19" s="49">
        <f>7140/60/60</f>
        <v>1.9833333333333334</v>
      </c>
      <c r="K19" s="40">
        <v>-0.25</v>
      </c>
      <c r="L19" s="40">
        <v>-0.04</v>
      </c>
      <c r="M19" s="50"/>
      <c r="N19" s="17" t="s">
        <v>131</v>
      </c>
      <c r="O19" s="7" t="s">
        <v>176</v>
      </c>
    </row>
    <row r="20" spans="1:15" x14ac:dyDescent="0.2">
      <c r="A20" s="24">
        <v>51</v>
      </c>
      <c r="B20" s="46">
        <v>0.625</v>
      </c>
      <c r="C20" s="40" t="s">
        <v>166</v>
      </c>
      <c r="D20" s="47" t="s">
        <v>167</v>
      </c>
      <c r="E20" s="40">
        <v>26964</v>
      </c>
      <c r="F20" s="40">
        <v>18.100000000000001</v>
      </c>
      <c r="G20" s="74" t="s">
        <v>48</v>
      </c>
      <c r="H20" s="7">
        <v>5614</v>
      </c>
      <c r="I20" s="49">
        <f t="shared" si="1"/>
        <v>1.5594444444444444</v>
      </c>
      <c r="J20" s="49">
        <f>7140/60/60</f>
        <v>1.9833333333333334</v>
      </c>
      <c r="K20" s="40">
        <v>-0.18</v>
      </c>
      <c r="L20" s="40">
        <v>0.01</v>
      </c>
      <c r="M20" s="50" t="s">
        <v>169</v>
      </c>
      <c r="N20" s="17" t="s">
        <v>168</v>
      </c>
    </row>
    <row r="21" spans="1:15" x14ac:dyDescent="0.2">
      <c r="A21" s="24">
        <v>52</v>
      </c>
      <c r="B21" s="46">
        <v>0.75</v>
      </c>
      <c r="C21" s="40" t="s">
        <v>172</v>
      </c>
      <c r="D21" s="47" t="s">
        <v>174</v>
      </c>
      <c r="E21" s="40">
        <v>28703</v>
      </c>
      <c r="F21" s="40">
        <v>13.8</v>
      </c>
      <c r="G21" s="74" t="s">
        <v>48</v>
      </c>
      <c r="H21" s="40">
        <v>6205</v>
      </c>
      <c r="I21" s="49">
        <f t="shared" si="1"/>
        <v>1.7236111111111112</v>
      </c>
      <c r="J21" s="49">
        <f>6984/60/60</f>
        <v>1.9400000000000002</v>
      </c>
      <c r="K21" s="40">
        <v>-0.18</v>
      </c>
      <c r="L21" s="40">
        <v>0.11</v>
      </c>
      <c r="M21" s="50" t="s">
        <v>173</v>
      </c>
      <c r="N21" s="17" t="s">
        <v>41</v>
      </c>
    </row>
    <row r="22" spans="1:15" x14ac:dyDescent="0.2">
      <c r="A22" s="18">
        <v>53</v>
      </c>
      <c r="B22" s="19">
        <v>0.875</v>
      </c>
      <c r="C22" s="20" t="s">
        <v>191</v>
      </c>
      <c r="D22" s="21"/>
      <c r="E22" s="20"/>
      <c r="F22" s="20"/>
      <c r="G22" s="76"/>
      <c r="H22" s="20"/>
      <c r="I22" s="22"/>
      <c r="J22" s="22"/>
      <c r="K22" s="20"/>
      <c r="L22" s="20"/>
      <c r="M22" s="23" t="s">
        <v>179</v>
      </c>
      <c r="N22" s="17" t="s">
        <v>178</v>
      </c>
    </row>
    <row r="23" spans="1:15" x14ac:dyDescent="0.2">
      <c r="A23" s="9">
        <v>54</v>
      </c>
      <c r="B23" s="46">
        <v>0.125</v>
      </c>
      <c r="C23" s="11" t="s">
        <v>193</v>
      </c>
      <c r="D23" s="12" t="s">
        <v>196</v>
      </c>
      <c r="E23" s="11">
        <v>26115</v>
      </c>
      <c r="F23" s="11">
        <v>20.6</v>
      </c>
      <c r="G23" s="73" t="s">
        <v>48</v>
      </c>
      <c r="H23" s="11">
        <v>6012</v>
      </c>
      <c r="I23" s="49">
        <f t="shared" si="1"/>
        <v>1.6700000000000002</v>
      </c>
      <c r="J23" s="49">
        <f>7832/60/60</f>
        <v>2.1755555555555555</v>
      </c>
      <c r="K23" s="11">
        <v>-7.0000000000000007E-2</v>
      </c>
      <c r="L23" s="11">
        <v>0.12</v>
      </c>
      <c r="M23" s="15" t="s">
        <v>194</v>
      </c>
      <c r="N23" s="17" t="s">
        <v>192</v>
      </c>
      <c r="O23" s="7" t="s">
        <v>176</v>
      </c>
    </row>
    <row r="24" spans="1:15" x14ac:dyDescent="0.2">
      <c r="A24" s="9">
        <v>55</v>
      </c>
      <c r="B24" s="46">
        <v>0.25</v>
      </c>
      <c r="C24" s="11" t="s">
        <v>201</v>
      </c>
      <c r="D24" s="12" t="s">
        <v>204</v>
      </c>
      <c r="E24" s="11">
        <v>24047</v>
      </c>
      <c r="F24" s="11">
        <v>28.6</v>
      </c>
      <c r="G24" s="73" t="s">
        <v>27</v>
      </c>
      <c r="H24" s="11">
        <v>4550</v>
      </c>
      <c r="I24" s="14">
        <f t="shared" si="1"/>
        <v>1.2638888888888888</v>
      </c>
      <c r="J24" s="14"/>
      <c r="K24" s="11">
        <v>-0.18</v>
      </c>
      <c r="L24" s="11">
        <v>-0.16</v>
      </c>
      <c r="M24" s="15" t="s">
        <v>202</v>
      </c>
      <c r="N24" s="17" t="s">
        <v>192</v>
      </c>
      <c r="O24" s="7" t="s">
        <v>176</v>
      </c>
    </row>
    <row r="25" spans="1:15" x14ac:dyDescent="0.2">
      <c r="A25" s="9">
        <v>56</v>
      </c>
      <c r="B25" s="46">
        <v>0.375</v>
      </c>
      <c r="C25" s="11" t="s">
        <v>203</v>
      </c>
      <c r="D25" s="12" t="s">
        <v>205</v>
      </c>
      <c r="E25" s="11">
        <v>26865</v>
      </c>
      <c r="F25" s="11">
        <v>18.5</v>
      </c>
      <c r="G25" s="73" t="s">
        <v>48</v>
      </c>
      <c r="H25" s="11">
        <v>5838</v>
      </c>
      <c r="I25" s="14">
        <f t="shared" si="1"/>
        <v>1.6216666666666666</v>
      </c>
      <c r="J25" s="14"/>
      <c r="K25" s="11">
        <v>-0.15</v>
      </c>
      <c r="L25" s="11">
        <v>0.11</v>
      </c>
      <c r="M25" s="15" t="s">
        <v>206</v>
      </c>
      <c r="N25" s="17" t="s">
        <v>192</v>
      </c>
      <c r="O25" s="7" t="s">
        <v>176</v>
      </c>
    </row>
    <row r="26" spans="1:15" x14ac:dyDescent="0.2">
      <c r="A26" s="24">
        <v>57</v>
      </c>
      <c r="B26" s="46">
        <v>0.5</v>
      </c>
      <c r="C26" s="11" t="s">
        <v>207</v>
      </c>
      <c r="D26" s="12" t="s">
        <v>209</v>
      </c>
      <c r="E26" s="11">
        <v>25501</v>
      </c>
      <c r="F26" s="11">
        <v>22.7</v>
      </c>
      <c r="G26" s="73" t="s">
        <v>98</v>
      </c>
      <c r="H26" s="11">
        <v>5830</v>
      </c>
      <c r="I26" s="14">
        <f t="shared" si="1"/>
        <v>1.6194444444444445</v>
      </c>
      <c r="J26" s="49">
        <f>4886/60/60</f>
        <v>1.3572222222222223</v>
      </c>
      <c r="K26" s="11">
        <v>-0.03</v>
      </c>
      <c r="L26" s="11">
        <v>0.06</v>
      </c>
      <c r="M26" s="15" t="s">
        <v>206</v>
      </c>
      <c r="N26" s="17" t="s">
        <v>192</v>
      </c>
      <c r="O26" s="7" t="s">
        <v>176</v>
      </c>
    </row>
    <row r="27" spans="1:15" x14ac:dyDescent="0.2">
      <c r="A27" s="24">
        <v>58</v>
      </c>
      <c r="B27" s="46">
        <v>0.625</v>
      </c>
      <c r="C27" s="11" t="s">
        <v>218</v>
      </c>
      <c r="D27" s="12" t="s">
        <v>215</v>
      </c>
      <c r="E27" s="11">
        <v>23747</v>
      </c>
      <c r="F27" s="11">
        <v>29.4</v>
      </c>
      <c r="G27" s="73" t="s">
        <v>217</v>
      </c>
      <c r="H27" s="11">
        <v>3854</v>
      </c>
      <c r="I27" s="14">
        <f t="shared" si="1"/>
        <v>1.0705555555555555</v>
      </c>
      <c r="J27" s="49">
        <f>4886/60/60</f>
        <v>1.3572222222222223</v>
      </c>
      <c r="K27" s="11">
        <v>-0.19</v>
      </c>
      <c r="L27" s="11">
        <v>0.1</v>
      </c>
      <c r="M27" s="15" t="s">
        <v>202</v>
      </c>
      <c r="N27" s="17" t="s">
        <v>212</v>
      </c>
      <c r="O27" s="7" t="s">
        <v>176</v>
      </c>
    </row>
    <row r="28" spans="1:15" x14ac:dyDescent="0.2">
      <c r="A28" s="24">
        <v>59</v>
      </c>
      <c r="B28" s="46">
        <v>0.75</v>
      </c>
      <c r="C28" s="11" t="s">
        <v>219</v>
      </c>
      <c r="D28" s="12" t="s">
        <v>221</v>
      </c>
      <c r="E28" s="11">
        <v>24896</v>
      </c>
      <c r="F28" s="11">
        <v>25.1</v>
      </c>
      <c r="G28" s="73" t="s">
        <v>222</v>
      </c>
      <c r="H28" s="11">
        <v>4888</v>
      </c>
      <c r="I28" s="14">
        <f t="shared" si="1"/>
        <v>1.3577777777777778</v>
      </c>
      <c r="J28" s="49">
        <f>5644/60/60</f>
        <v>1.5677777777777777</v>
      </c>
      <c r="K28" s="11">
        <v>-0.26</v>
      </c>
      <c r="L28" s="11">
        <v>0.06</v>
      </c>
      <c r="M28" s="15" t="s">
        <v>202</v>
      </c>
      <c r="N28" s="17" t="s">
        <v>212</v>
      </c>
      <c r="O28" s="7" t="s">
        <v>176</v>
      </c>
    </row>
    <row r="29" spans="1:15" x14ac:dyDescent="0.2">
      <c r="A29" s="24">
        <v>60</v>
      </c>
      <c r="B29" s="46">
        <v>0.875</v>
      </c>
      <c r="C29" s="11" t="s">
        <v>223</v>
      </c>
      <c r="D29" s="12" t="s">
        <v>227</v>
      </c>
      <c r="E29" s="11">
        <v>25963</v>
      </c>
      <c r="F29" s="11">
        <v>21.2</v>
      </c>
      <c r="G29" s="73" t="s">
        <v>228</v>
      </c>
      <c r="H29" s="11">
        <v>4754</v>
      </c>
      <c r="I29" s="14">
        <f t="shared" si="1"/>
        <v>1.3205555555555555</v>
      </c>
      <c r="J29" s="49">
        <f>5644/60/60</f>
        <v>1.5677777777777777</v>
      </c>
      <c r="K29" s="11">
        <v>-0.21</v>
      </c>
      <c r="L29" s="11"/>
      <c r="M29" s="15" t="s">
        <v>225</v>
      </c>
      <c r="N29" s="17" t="s">
        <v>212</v>
      </c>
      <c r="O29" s="7" t="s">
        <v>176</v>
      </c>
    </row>
    <row r="30" spans="1:15" x14ac:dyDescent="0.2">
      <c r="A30" s="18">
        <v>61</v>
      </c>
      <c r="B30" s="19">
        <v>0</v>
      </c>
      <c r="C30" s="20"/>
      <c r="D30" s="21"/>
      <c r="E30" s="20"/>
      <c r="F30" s="20"/>
      <c r="G30" s="76"/>
      <c r="H30" s="20"/>
      <c r="I30" s="22"/>
      <c r="J30" s="22"/>
      <c r="K30" s="20"/>
      <c r="L30" s="20"/>
      <c r="M30" s="23" t="s">
        <v>301</v>
      </c>
      <c r="N30" s="17" t="s">
        <v>213</v>
      </c>
      <c r="O30" s="7" t="s">
        <v>176</v>
      </c>
    </row>
    <row r="31" spans="1:15" x14ac:dyDescent="0.2">
      <c r="A31" s="18">
        <v>62</v>
      </c>
      <c r="B31" s="19">
        <v>0</v>
      </c>
      <c r="C31" s="20"/>
      <c r="D31" s="21"/>
      <c r="E31" s="20"/>
      <c r="F31" s="20"/>
      <c r="G31" s="76"/>
      <c r="H31" s="20"/>
      <c r="I31" s="22"/>
      <c r="J31" s="22"/>
      <c r="K31" s="20"/>
      <c r="L31" s="20"/>
      <c r="M31" s="23" t="s">
        <v>302</v>
      </c>
      <c r="N31" s="17" t="s">
        <v>213</v>
      </c>
      <c r="O31" s="7" t="s">
        <v>176</v>
      </c>
    </row>
    <row r="32" spans="1:15" x14ac:dyDescent="0.2">
      <c r="A32" s="24">
        <v>63</v>
      </c>
      <c r="B32" s="46">
        <v>0.125</v>
      </c>
      <c r="C32" s="11" t="s">
        <v>229</v>
      </c>
      <c r="D32" s="12" t="s">
        <v>231</v>
      </c>
      <c r="E32" s="11">
        <v>23964</v>
      </c>
      <c r="F32" s="11">
        <v>28.9</v>
      </c>
      <c r="G32" s="73" t="s">
        <v>232</v>
      </c>
      <c r="H32" s="11">
        <v>5788</v>
      </c>
      <c r="I32" s="14">
        <f>H32/60/60</f>
        <v>1.6077777777777778</v>
      </c>
      <c r="J32" s="49">
        <f>6782/60/60</f>
        <v>1.8838888888888889</v>
      </c>
      <c r="K32" s="11">
        <v>-0.24</v>
      </c>
      <c r="L32" s="11">
        <v>0.15</v>
      </c>
      <c r="M32" s="15" t="s">
        <v>202</v>
      </c>
      <c r="N32" s="17" t="s">
        <v>213</v>
      </c>
      <c r="O32" s="7" t="s">
        <v>176</v>
      </c>
    </row>
    <row r="33" spans="1:15" ht="13.5" thickBot="1" x14ac:dyDescent="0.25">
      <c r="A33" s="25">
        <v>64</v>
      </c>
      <c r="B33" s="32">
        <v>0.25</v>
      </c>
      <c r="C33" s="27" t="s">
        <v>233</v>
      </c>
      <c r="D33" s="28" t="s">
        <v>236</v>
      </c>
      <c r="E33" s="27">
        <v>26238</v>
      </c>
      <c r="F33" s="27">
        <v>20.399999999999999</v>
      </c>
      <c r="G33" s="77" t="s">
        <v>228</v>
      </c>
      <c r="H33" s="27">
        <v>4892</v>
      </c>
      <c r="I33" s="14">
        <f>H33/60/60</f>
        <v>1.3588888888888888</v>
      </c>
      <c r="J33" s="30"/>
      <c r="K33" s="27">
        <v>-0.3</v>
      </c>
      <c r="L33" s="27">
        <v>0.26</v>
      </c>
      <c r="M33" s="31" t="s">
        <v>206</v>
      </c>
      <c r="N33" s="17" t="s">
        <v>213</v>
      </c>
      <c r="O33" s="7" t="s">
        <v>176</v>
      </c>
    </row>
    <row r="34" spans="1:15" x14ac:dyDescent="0.2">
      <c r="B34" s="46"/>
    </row>
    <row r="35" spans="1:15" x14ac:dyDescent="0.2">
      <c r="A35" s="34" t="s">
        <v>74</v>
      </c>
      <c r="B35" s="35"/>
      <c r="C35" s="34"/>
      <c r="D35" s="36"/>
      <c r="E35" s="37">
        <f>AVERAGE(E2:E34)</f>
        <v>23950.857142857141</v>
      </c>
      <c r="F35" s="39">
        <f>AVERAGE(F2:F34)</f>
        <v>54.967857142857142</v>
      </c>
      <c r="G35" s="78"/>
      <c r="H35" s="34"/>
      <c r="I35" s="38">
        <f>AVERAGE(I2:I34)</f>
        <v>1.4526091269841273</v>
      </c>
      <c r="J35" s="38">
        <f>AVERAGE(J2:J34)</f>
        <v>1.6085555555555555</v>
      </c>
    </row>
    <row r="36" spans="1:15" x14ac:dyDescent="0.2">
      <c r="A36" s="34" t="s">
        <v>75</v>
      </c>
      <c r="B36" s="35"/>
      <c r="C36" s="34"/>
      <c r="D36" s="36"/>
      <c r="E36" s="34">
        <f>MAX(E2:E35)</f>
        <v>28703</v>
      </c>
      <c r="F36" s="34">
        <f>MAX(F2:F35)</f>
        <v>726.8</v>
      </c>
      <c r="G36" s="78"/>
      <c r="H36" s="34"/>
      <c r="I36" s="38">
        <f>MAX(I2:I35)</f>
        <v>2.2366666666666664</v>
      </c>
      <c r="J36" s="38">
        <f>MAX(J2:J35)</f>
        <v>2.1755555555555555</v>
      </c>
    </row>
    <row r="37" spans="1:15" x14ac:dyDescent="0.2">
      <c r="A37" s="34" t="s">
        <v>76</v>
      </c>
      <c r="B37" s="35"/>
      <c r="C37" s="34"/>
      <c r="D37" s="36"/>
      <c r="E37" s="34">
        <f>MIN(E2:E36)</f>
        <v>2830</v>
      </c>
      <c r="F37" s="34">
        <f>MIN(F2:F36)</f>
        <v>13.8</v>
      </c>
      <c r="G37" s="78"/>
      <c r="H37" s="34"/>
      <c r="I37" s="38">
        <f>MIN(I2:I36)</f>
        <v>0.18277777777777779</v>
      </c>
      <c r="J37" s="38">
        <f>MIN(J2:J36)</f>
        <v>0.18277777777777779</v>
      </c>
    </row>
  </sheetData>
  <pageMargins left="0.7" right="0.7" top="0.75" bottom="0.75" header="0.3" footer="0.3"/>
  <pageSetup scale="77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opLeftCell="A3" workbookViewId="0">
      <selection activeCell="A2" sqref="A2:J33"/>
    </sheetView>
  </sheetViews>
  <sheetFormatPr defaultRowHeight="12.75" x14ac:dyDescent="0.2"/>
  <cols>
    <col min="1" max="1" width="7.140625" style="7" customWidth="1"/>
    <col min="2" max="2" width="6.7109375" style="32" customWidth="1"/>
    <col min="3" max="3" width="9.140625" style="7"/>
    <col min="4" max="4" width="15.7109375" style="17" customWidth="1"/>
    <col min="5" max="5" width="9.140625" style="7"/>
    <col min="6" max="6" width="6.5703125" style="7" customWidth="1"/>
    <col min="7" max="7" width="11.42578125" style="17" bestFit="1" customWidth="1"/>
    <col min="8" max="8" width="11.140625" style="7" customWidth="1"/>
    <col min="9" max="10" width="12.28515625" style="33" customWidth="1"/>
    <col min="11" max="12" width="9.140625" style="7"/>
    <col min="13" max="13" width="10.7109375" style="7" customWidth="1"/>
    <col min="14" max="14" width="9.140625" style="17"/>
    <col min="15" max="16" width="9.140625" style="7"/>
    <col min="17" max="17" width="10.42578125" style="7" customWidth="1"/>
    <col min="18" max="16384" width="9.140625" style="7"/>
  </cols>
  <sheetData>
    <row r="1" spans="1:17" ht="13.5" thickBot="1" x14ac:dyDescent="0.25">
      <c r="A1" s="1" t="s">
        <v>0</v>
      </c>
      <c r="B1" s="2" t="s">
        <v>10</v>
      </c>
      <c r="C1" s="3" t="s">
        <v>1</v>
      </c>
      <c r="D1" s="4" t="s">
        <v>19</v>
      </c>
      <c r="E1" s="3" t="s">
        <v>2</v>
      </c>
      <c r="F1" s="3" t="s">
        <v>3</v>
      </c>
      <c r="G1" s="4" t="s">
        <v>4</v>
      </c>
      <c r="H1" s="3" t="s">
        <v>6</v>
      </c>
      <c r="I1" s="5" t="s">
        <v>5</v>
      </c>
      <c r="J1" s="5" t="s">
        <v>72</v>
      </c>
      <c r="K1" s="3" t="s">
        <v>7</v>
      </c>
      <c r="L1" s="3" t="s">
        <v>8</v>
      </c>
      <c r="M1" s="6" t="s">
        <v>12</v>
      </c>
      <c r="N1" s="8" t="s">
        <v>25</v>
      </c>
      <c r="O1" s="7" t="s">
        <v>242</v>
      </c>
      <c r="P1" s="34" t="s">
        <v>251</v>
      </c>
      <c r="Q1" s="34" t="s">
        <v>252</v>
      </c>
    </row>
    <row r="2" spans="1:17" x14ac:dyDescent="0.2">
      <c r="A2" s="9">
        <v>65</v>
      </c>
      <c r="B2" s="46">
        <v>0.375</v>
      </c>
      <c r="C2" s="11" t="s">
        <v>235</v>
      </c>
      <c r="D2" s="12" t="s">
        <v>238</v>
      </c>
      <c r="E2" s="11">
        <v>26299</v>
      </c>
      <c r="F2" s="11">
        <v>20.2</v>
      </c>
      <c r="G2" s="13" t="s">
        <v>239</v>
      </c>
      <c r="H2" s="11">
        <v>6066</v>
      </c>
      <c r="I2" s="14">
        <f t="shared" ref="I2:I26" si="0">H2/60/60</f>
        <v>1.6849999999999998</v>
      </c>
      <c r="J2" s="49">
        <f>6782/60/60</f>
        <v>1.8838888888888889</v>
      </c>
      <c r="K2" s="11">
        <v>-0.23</v>
      </c>
      <c r="L2" s="11">
        <v>0.26</v>
      </c>
      <c r="M2" s="15" t="s">
        <v>202</v>
      </c>
      <c r="N2" s="8" t="s">
        <v>195</v>
      </c>
      <c r="O2" s="7" t="s">
        <v>176</v>
      </c>
      <c r="P2" s="83" t="s">
        <v>294</v>
      </c>
      <c r="Q2" s="84" t="s">
        <v>297</v>
      </c>
    </row>
    <row r="3" spans="1:17" x14ac:dyDescent="0.2">
      <c r="A3" s="9">
        <v>66</v>
      </c>
      <c r="B3" s="46">
        <v>0.5</v>
      </c>
      <c r="C3" s="11" t="s">
        <v>237</v>
      </c>
      <c r="D3" s="12" t="s">
        <v>240</v>
      </c>
      <c r="E3" s="11">
        <v>25419</v>
      </c>
      <c r="F3" s="11">
        <v>23</v>
      </c>
      <c r="G3" s="13" t="s">
        <v>241</v>
      </c>
      <c r="H3" s="11">
        <v>4800</v>
      </c>
      <c r="I3" s="14">
        <f t="shared" si="0"/>
        <v>1.3333333333333333</v>
      </c>
      <c r="J3" s="14"/>
      <c r="K3" s="11">
        <v>-0.08</v>
      </c>
      <c r="L3" s="11" t="str">
        <f>-0.01 &amp; -0.06</f>
        <v>-0.01-0.06</v>
      </c>
      <c r="M3" s="15" t="s">
        <v>202</v>
      </c>
      <c r="N3" s="8" t="s">
        <v>195</v>
      </c>
      <c r="O3" s="7" t="s">
        <v>176</v>
      </c>
      <c r="P3" s="83" t="s">
        <v>254</v>
      </c>
      <c r="Q3" s="84" t="s">
        <v>298</v>
      </c>
    </row>
    <row r="4" spans="1:17" x14ac:dyDescent="0.2">
      <c r="A4" s="24">
        <v>67</v>
      </c>
      <c r="B4" s="46">
        <v>0.625</v>
      </c>
      <c r="C4" s="40" t="s">
        <v>243</v>
      </c>
      <c r="D4" s="47" t="s">
        <v>247</v>
      </c>
      <c r="E4" s="40">
        <v>24776</v>
      </c>
      <c r="F4" s="40">
        <v>25.3</v>
      </c>
      <c r="G4" s="48" t="s">
        <v>248</v>
      </c>
      <c r="H4" s="40">
        <v>5066</v>
      </c>
      <c r="I4" s="14">
        <f t="shared" si="0"/>
        <v>1.4072222222222224</v>
      </c>
      <c r="J4" s="49">
        <f>6090/60/60</f>
        <v>1.6916666666666667</v>
      </c>
      <c r="K4" s="40">
        <v>-0.19</v>
      </c>
      <c r="L4" s="40">
        <v>0.16</v>
      </c>
      <c r="M4" s="15" t="s">
        <v>202</v>
      </c>
      <c r="N4" s="8" t="s">
        <v>195</v>
      </c>
      <c r="O4" s="7" t="s">
        <v>176</v>
      </c>
      <c r="P4" s="83" t="s">
        <v>280</v>
      </c>
      <c r="Q4" s="84" t="s">
        <v>281</v>
      </c>
    </row>
    <row r="5" spans="1:17" x14ac:dyDescent="0.2">
      <c r="A5" s="24">
        <v>68</v>
      </c>
      <c r="B5" s="46">
        <v>0.75</v>
      </c>
      <c r="C5" s="40" t="s">
        <v>249</v>
      </c>
      <c r="D5" s="47" t="s">
        <v>255</v>
      </c>
      <c r="E5" s="40">
        <v>25436</v>
      </c>
      <c r="F5" s="40">
        <v>23</v>
      </c>
      <c r="G5" s="48" t="s">
        <v>284</v>
      </c>
      <c r="H5" s="40">
        <v>4872</v>
      </c>
      <c r="I5" s="14">
        <f t="shared" si="0"/>
        <v>1.3533333333333333</v>
      </c>
      <c r="J5" s="49">
        <f>5968/60/60</f>
        <v>1.6577777777777778</v>
      </c>
      <c r="K5" s="40">
        <v>-0.11</v>
      </c>
      <c r="L5" s="40">
        <v>0.03</v>
      </c>
      <c r="M5" s="15" t="s">
        <v>202</v>
      </c>
      <c r="N5" s="8" t="s">
        <v>305</v>
      </c>
      <c r="O5" s="7" t="s">
        <v>176</v>
      </c>
      <c r="P5" s="83" t="s">
        <v>280</v>
      </c>
      <c r="Q5" s="84" t="s">
        <v>281</v>
      </c>
    </row>
    <row r="6" spans="1:17" x14ac:dyDescent="0.2">
      <c r="A6" s="24">
        <v>69</v>
      </c>
      <c r="B6" s="46">
        <v>0.875</v>
      </c>
      <c r="C6" s="7" t="s">
        <v>282</v>
      </c>
      <c r="D6" s="47" t="s">
        <v>287</v>
      </c>
      <c r="E6" s="40">
        <v>25907</v>
      </c>
      <c r="F6" s="40">
        <v>21.3</v>
      </c>
      <c r="G6" s="48" t="s">
        <v>288</v>
      </c>
      <c r="H6" s="40">
        <v>4624</v>
      </c>
      <c r="I6" s="14">
        <f t="shared" si="0"/>
        <v>1.2844444444444443</v>
      </c>
      <c r="J6" s="49">
        <f>5534/60/60</f>
        <v>1.5372222222222223</v>
      </c>
      <c r="K6" s="40">
        <v>-0.15</v>
      </c>
      <c r="L6" s="40">
        <v>0.03</v>
      </c>
      <c r="M6" s="15" t="s">
        <v>202</v>
      </c>
      <c r="N6" s="17" t="s">
        <v>220</v>
      </c>
      <c r="O6" s="7" t="s">
        <v>176</v>
      </c>
      <c r="P6" s="83" t="s">
        <v>285</v>
      </c>
      <c r="Q6" s="84" t="s">
        <v>286</v>
      </c>
    </row>
    <row r="7" spans="1:17" x14ac:dyDescent="0.2">
      <c r="A7" s="24">
        <v>70</v>
      </c>
      <c r="B7" s="46">
        <v>0</v>
      </c>
      <c r="C7" s="40" t="s">
        <v>289</v>
      </c>
      <c r="D7" s="47" t="s">
        <v>306</v>
      </c>
      <c r="E7" s="40">
        <v>22985</v>
      </c>
      <c r="F7" s="40">
        <v>33.799999999999997</v>
      </c>
      <c r="G7" s="48" t="s">
        <v>308</v>
      </c>
      <c r="H7" s="40">
        <v>4746</v>
      </c>
      <c r="I7" s="49">
        <f t="shared" si="0"/>
        <v>1.3183333333333331</v>
      </c>
      <c r="J7" s="49">
        <f>6100/60/60</f>
        <v>1.6944444444444444</v>
      </c>
      <c r="K7" s="40">
        <v>-0.2</v>
      </c>
      <c r="L7" s="40">
        <v>0.17</v>
      </c>
      <c r="M7" s="15" t="s">
        <v>202</v>
      </c>
      <c r="N7" s="17" t="s">
        <v>220</v>
      </c>
      <c r="O7" s="7" t="s">
        <v>176</v>
      </c>
      <c r="P7" s="83" t="s">
        <v>290</v>
      </c>
      <c r="Q7" s="84" t="s">
        <v>291</v>
      </c>
    </row>
    <row r="8" spans="1:17" x14ac:dyDescent="0.2">
      <c r="A8" s="24">
        <v>71</v>
      </c>
      <c r="B8" s="46">
        <v>0.125</v>
      </c>
      <c r="C8" s="40" t="s">
        <v>282</v>
      </c>
      <c r="D8" s="47" t="s">
        <v>310</v>
      </c>
      <c r="E8" s="40">
        <v>24077</v>
      </c>
      <c r="F8" s="40">
        <v>28.4</v>
      </c>
      <c r="G8" s="48" t="s">
        <v>311</v>
      </c>
      <c r="H8" s="40">
        <v>4026</v>
      </c>
      <c r="I8" s="49">
        <f t="shared" si="0"/>
        <v>1.1183333333333332</v>
      </c>
      <c r="J8" s="49">
        <f>5282/60/60</f>
        <v>1.4672222222222222</v>
      </c>
      <c r="K8" s="40">
        <v>-0.15</v>
      </c>
      <c r="L8" s="40">
        <v>0.16</v>
      </c>
      <c r="M8" s="15" t="s">
        <v>202</v>
      </c>
      <c r="N8" s="17" t="s">
        <v>304</v>
      </c>
      <c r="O8" s="7" t="s">
        <v>176</v>
      </c>
      <c r="P8" s="7" t="s">
        <v>290</v>
      </c>
      <c r="Q8" s="84" t="s">
        <v>309</v>
      </c>
    </row>
    <row r="9" spans="1:17" x14ac:dyDescent="0.2">
      <c r="A9" s="24">
        <v>72</v>
      </c>
      <c r="B9" s="46">
        <v>0.25</v>
      </c>
      <c r="C9" s="40" t="s">
        <v>312</v>
      </c>
      <c r="D9" s="47" t="s">
        <v>314</v>
      </c>
      <c r="E9" s="40">
        <v>19135</v>
      </c>
      <c r="F9" s="40">
        <v>64.7</v>
      </c>
      <c r="G9" s="48" t="s">
        <v>315</v>
      </c>
      <c r="H9" s="40">
        <v>4116</v>
      </c>
      <c r="I9" s="49">
        <f t="shared" si="0"/>
        <v>1.1433333333333333</v>
      </c>
      <c r="J9" s="49"/>
      <c r="K9" s="40">
        <v>-0.09</v>
      </c>
      <c r="L9" s="40">
        <v>-0.04</v>
      </c>
      <c r="M9" s="15" t="s">
        <v>206</v>
      </c>
      <c r="N9" s="17" t="s">
        <v>303</v>
      </c>
      <c r="O9" s="7" t="s">
        <v>176</v>
      </c>
      <c r="P9" s="7" t="s">
        <v>313</v>
      </c>
      <c r="Q9" s="7" t="s">
        <v>291</v>
      </c>
    </row>
    <row r="10" spans="1:17" x14ac:dyDescent="0.2">
      <c r="A10" s="24">
        <v>73</v>
      </c>
      <c r="B10" s="46">
        <v>0.375</v>
      </c>
      <c r="C10" s="40" t="s">
        <v>316</v>
      </c>
      <c r="D10" s="47" t="s">
        <v>318</v>
      </c>
      <c r="E10" s="40">
        <v>24332</v>
      </c>
      <c r="F10" s="40">
        <v>27.4</v>
      </c>
      <c r="G10" s="48" t="s">
        <v>284</v>
      </c>
      <c r="H10" s="40">
        <v>4684</v>
      </c>
      <c r="I10" s="49">
        <f t="shared" si="0"/>
        <v>1.3011111111111111</v>
      </c>
      <c r="J10" s="49"/>
      <c r="K10" s="40">
        <v>-0.1</v>
      </c>
      <c r="L10" s="40">
        <v>0.14000000000000001</v>
      </c>
      <c r="M10" s="50" t="s">
        <v>317</v>
      </c>
      <c r="N10" s="17" t="s">
        <v>303</v>
      </c>
      <c r="O10" s="7" t="s">
        <v>176</v>
      </c>
      <c r="P10" s="7" t="s">
        <v>323</v>
      </c>
      <c r="Q10" s="7" t="s">
        <v>324</v>
      </c>
    </row>
    <row r="11" spans="1:17" x14ac:dyDescent="0.2">
      <c r="A11" s="24">
        <v>74</v>
      </c>
      <c r="B11" s="46">
        <v>0.5</v>
      </c>
      <c r="C11" s="40" t="s">
        <v>319</v>
      </c>
      <c r="D11" s="47" t="s">
        <v>320</v>
      </c>
      <c r="E11" s="40">
        <v>19454</v>
      </c>
      <c r="F11" s="40">
        <v>60.8</v>
      </c>
      <c r="G11" s="48" t="s">
        <v>241</v>
      </c>
      <c r="H11" s="40">
        <v>3654</v>
      </c>
      <c r="I11" s="49">
        <f t="shared" si="0"/>
        <v>1.0149999999999999</v>
      </c>
      <c r="J11" s="49"/>
      <c r="K11" s="40">
        <v>-0.22</v>
      </c>
      <c r="L11" s="40">
        <v>0.03</v>
      </c>
      <c r="M11" s="50" t="s">
        <v>317</v>
      </c>
      <c r="N11" s="17" t="s">
        <v>303</v>
      </c>
      <c r="O11" s="7" t="s">
        <v>176</v>
      </c>
      <c r="P11" s="7" t="s">
        <v>290</v>
      </c>
      <c r="Q11" s="7" t="s">
        <v>321</v>
      </c>
    </row>
    <row r="12" spans="1:17" x14ac:dyDescent="0.2">
      <c r="A12" s="24">
        <v>75</v>
      </c>
      <c r="B12" s="46">
        <v>0.625</v>
      </c>
      <c r="C12" s="40" t="s">
        <v>316</v>
      </c>
      <c r="D12" s="47" t="s">
        <v>325</v>
      </c>
      <c r="E12" s="40">
        <v>26799</v>
      </c>
      <c r="F12" s="40">
        <v>18.5</v>
      </c>
      <c r="G12" s="48" t="s">
        <v>284</v>
      </c>
      <c r="H12" s="40">
        <v>5120</v>
      </c>
      <c r="I12" s="49">
        <f t="shared" si="0"/>
        <v>1.4222222222222221</v>
      </c>
      <c r="J12" s="49">
        <f>6318/60/60</f>
        <v>1.7549999999999999</v>
      </c>
      <c r="K12" s="40">
        <v>-0.24</v>
      </c>
      <c r="L12" s="40">
        <v>0.19</v>
      </c>
      <c r="M12" s="50" t="s">
        <v>328</v>
      </c>
      <c r="N12" s="17" t="s">
        <v>322</v>
      </c>
      <c r="P12" s="7" t="s">
        <v>326</v>
      </c>
      <c r="Q12" s="7" t="s">
        <v>327</v>
      </c>
    </row>
    <row r="13" spans="1:17" x14ac:dyDescent="0.2">
      <c r="A13" s="24">
        <v>76</v>
      </c>
      <c r="B13" s="46">
        <v>0.75</v>
      </c>
      <c r="C13" s="40" t="s">
        <v>329</v>
      </c>
      <c r="D13" s="47" t="s">
        <v>334</v>
      </c>
      <c r="E13" s="40">
        <v>24682</v>
      </c>
      <c r="F13" s="40">
        <v>26</v>
      </c>
      <c r="G13" s="48" t="s">
        <v>335</v>
      </c>
      <c r="H13" s="40">
        <v>4452</v>
      </c>
      <c r="I13" s="49">
        <f t="shared" si="0"/>
        <v>1.2366666666666668</v>
      </c>
      <c r="J13" s="49">
        <f>5512/60/60</f>
        <v>1.5311111111111111</v>
      </c>
      <c r="K13" s="40">
        <v>-0.17</v>
      </c>
      <c r="L13" s="40">
        <v>0.55000000000000004</v>
      </c>
      <c r="M13" s="50" t="s">
        <v>333</v>
      </c>
      <c r="N13" s="17" t="s">
        <v>322</v>
      </c>
      <c r="O13" s="7" t="s">
        <v>176</v>
      </c>
      <c r="P13" s="7" t="s">
        <v>331</v>
      </c>
      <c r="Q13" s="7" t="s">
        <v>297</v>
      </c>
    </row>
    <row r="14" spans="1:17" x14ac:dyDescent="0.2">
      <c r="A14" s="24">
        <v>77</v>
      </c>
      <c r="B14" s="46">
        <v>0.875</v>
      </c>
      <c r="C14" s="40" t="s">
        <v>336</v>
      </c>
      <c r="D14" s="47" t="s">
        <v>338</v>
      </c>
      <c r="E14" s="40">
        <v>28250</v>
      </c>
      <c r="F14" s="40">
        <v>14.9</v>
      </c>
      <c r="G14" s="48" t="s">
        <v>98</v>
      </c>
      <c r="H14" s="40">
        <v>6358</v>
      </c>
      <c r="I14" s="49">
        <f t="shared" si="0"/>
        <v>1.7661111111111112</v>
      </c>
      <c r="J14" s="49">
        <f>7046/60/60</f>
        <v>1.9572222222222222</v>
      </c>
      <c r="K14" s="40">
        <v>-0.28000000000000003</v>
      </c>
      <c r="L14" s="40">
        <v>0.15</v>
      </c>
      <c r="M14" s="50"/>
      <c r="N14" s="17" t="s">
        <v>322</v>
      </c>
      <c r="P14" s="7" t="s">
        <v>326</v>
      </c>
      <c r="Q14" s="7" t="s">
        <v>337</v>
      </c>
    </row>
    <row r="15" spans="1:17" x14ac:dyDescent="0.2">
      <c r="A15" s="24">
        <v>78</v>
      </c>
      <c r="B15" s="46">
        <v>0</v>
      </c>
      <c r="C15" s="40" t="s">
        <v>339</v>
      </c>
      <c r="D15" s="47" t="s">
        <v>343</v>
      </c>
      <c r="E15" s="40">
        <v>26356</v>
      </c>
      <c r="F15" s="40">
        <v>19.899999999999999</v>
      </c>
      <c r="G15" s="48" t="s">
        <v>344</v>
      </c>
      <c r="H15" s="40">
        <v>5010</v>
      </c>
      <c r="I15" s="49">
        <f t="shared" si="0"/>
        <v>1.3916666666666666</v>
      </c>
      <c r="J15" s="49">
        <f>5964/60/60</f>
        <v>1.6566666666666667</v>
      </c>
      <c r="K15" s="40">
        <v>-0.14000000000000001</v>
      </c>
      <c r="L15" s="40">
        <v>0.05</v>
      </c>
      <c r="M15" s="50" t="s">
        <v>348</v>
      </c>
      <c r="N15" s="17" t="s">
        <v>341</v>
      </c>
    </row>
    <row r="16" spans="1:17" x14ac:dyDescent="0.2">
      <c r="A16" s="24">
        <v>79</v>
      </c>
      <c r="B16" s="46">
        <v>0.125</v>
      </c>
      <c r="C16" s="40" t="s">
        <v>345</v>
      </c>
      <c r="D16" s="47" t="s">
        <v>346</v>
      </c>
      <c r="E16" s="40">
        <v>26734</v>
      </c>
      <c r="F16" s="40">
        <v>18.8</v>
      </c>
      <c r="G16" s="48" t="s">
        <v>347</v>
      </c>
      <c r="H16" s="40">
        <v>5578</v>
      </c>
      <c r="I16" s="49">
        <f t="shared" si="0"/>
        <v>1.5494444444444444</v>
      </c>
      <c r="J16" s="49">
        <f>6224/60/60</f>
        <v>1.7288888888888889</v>
      </c>
      <c r="K16" s="40">
        <v>-0.13</v>
      </c>
      <c r="L16" s="40">
        <v>0.1</v>
      </c>
      <c r="M16" s="50" t="s">
        <v>340</v>
      </c>
      <c r="N16" s="17" t="s">
        <v>342</v>
      </c>
    </row>
    <row r="17" spans="1:17" x14ac:dyDescent="0.2">
      <c r="A17" s="24">
        <v>80</v>
      </c>
      <c r="B17" s="46">
        <v>0.25</v>
      </c>
      <c r="C17" s="40" t="s">
        <v>349</v>
      </c>
      <c r="D17" s="47" t="s">
        <v>350</v>
      </c>
      <c r="E17" s="40">
        <v>19189</v>
      </c>
      <c r="F17" s="40">
        <v>64</v>
      </c>
      <c r="G17" s="48" t="s">
        <v>27</v>
      </c>
      <c r="H17" s="40">
        <v>3846</v>
      </c>
      <c r="I17" s="49">
        <f t="shared" si="0"/>
        <v>1.0683333333333331</v>
      </c>
      <c r="J17" s="49"/>
      <c r="K17" s="40">
        <v>-0.19</v>
      </c>
      <c r="L17" s="40">
        <v>0.17</v>
      </c>
      <c r="M17" s="50" t="s">
        <v>340</v>
      </c>
      <c r="N17" s="17" t="s">
        <v>342</v>
      </c>
    </row>
    <row r="18" spans="1:17" x14ac:dyDescent="0.2">
      <c r="A18" s="24">
        <v>81</v>
      </c>
      <c r="B18" s="46">
        <v>0.375</v>
      </c>
      <c r="C18" s="40" t="s">
        <v>351</v>
      </c>
      <c r="D18" s="47" t="s">
        <v>352</v>
      </c>
      <c r="E18" s="40">
        <v>26658</v>
      </c>
      <c r="F18" s="40">
        <v>19.100000000000001</v>
      </c>
      <c r="G18" s="48" t="s">
        <v>284</v>
      </c>
      <c r="H18" s="40">
        <v>5082</v>
      </c>
      <c r="I18" s="49">
        <f t="shared" si="0"/>
        <v>1.4116666666666666</v>
      </c>
      <c r="J18" s="49">
        <f>5464/60/60</f>
        <v>1.5177777777777777</v>
      </c>
      <c r="K18" s="40">
        <v>-0.1</v>
      </c>
      <c r="L18" s="40">
        <v>0.16</v>
      </c>
      <c r="M18" s="50" t="s">
        <v>353</v>
      </c>
      <c r="N18" s="17" t="s">
        <v>359</v>
      </c>
    </row>
    <row r="19" spans="1:17" x14ac:dyDescent="0.2">
      <c r="A19" s="24">
        <v>82</v>
      </c>
      <c r="B19" s="46">
        <v>0.5</v>
      </c>
      <c r="C19" s="40" t="s">
        <v>354</v>
      </c>
      <c r="D19" s="47" t="s">
        <v>355</v>
      </c>
      <c r="E19" s="40">
        <v>26786</v>
      </c>
      <c r="F19" s="40">
        <v>18.600000000000001</v>
      </c>
      <c r="G19" s="48" t="s">
        <v>228</v>
      </c>
      <c r="H19" s="40">
        <v>4934</v>
      </c>
      <c r="I19" s="49">
        <f t="shared" si="0"/>
        <v>1.3705555555555555</v>
      </c>
      <c r="K19" s="40">
        <v>-0.13</v>
      </c>
      <c r="L19" s="40">
        <v>0.1</v>
      </c>
      <c r="M19" s="50" t="s">
        <v>353</v>
      </c>
      <c r="N19" s="17" t="s">
        <v>356</v>
      </c>
    </row>
    <row r="20" spans="1:17" x14ac:dyDescent="0.2">
      <c r="A20" s="24">
        <v>83</v>
      </c>
      <c r="B20" s="46">
        <v>0.625</v>
      </c>
      <c r="C20" s="40" t="s">
        <v>357</v>
      </c>
      <c r="D20" s="47" t="s">
        <v>358</v>
      </c>
      <c r="E20" s="40">
        <v>24695</v>
      </c>
      <c r="F20" s="40">
        <v>25.8</v>
      </c>
      <c r="G20" s="48" t="s">
        <v>284</v>
      </c>
      <c r="H20" s="40">
        <v>4754</v>
      </c>
      <c r="I20" s="49">
        <f t="shared" si="0"/>
        <v>1.3205555555555555</v>
      </c>
      <c r="J20" s="49">
        <f>6224/60/60</f>
        <v>1.7288888888888889</v>
      </c>
      <c r="K20" s="40">
        <v>-0.16</v>
      </c>
      <c r="L20" s="40">
        <v>7.0000000000000007E-2</v>
      </c>
      <c r="M20" s="50" t="s">
        <v>353</v>
      </c>
      <c r="N20" s="17" t="s">
        <v>356</v>
      </c>
    </row>
    <row r="21" spans="1:17" x14ac:dyDescent="0.2">
      <c r="A21" s="24">
        <v>84</v>
      </c>
      <c r="B21" s="46">
        <v>0.75</v>
      </c>
      <c r="C21" s="40" t="s">
        <v>360</v>
      </c>
      <c r="D21" s="47" t="s">
        <v>361</v>
      </c>
      <c r="E21" s="40">
        <v>27442</v>
      </c>
      <c r="F21" s="40">
        <v>16.899999999999999</v>
      </c>
      <c r="G21" s="48" t="s">
        <v>284</v>
      </c>
      <c r="H21" s="40">
        <v>5258</v>
      </c>
      <c r="I21" s="49">
        <f t="shared" si="0"/>
        <v>1.4605555555555556</v>
      </c>
      <c r="J21" s="49">
        <f>5950/60/60</f>
        <v>1.6527777777777779</v>
      </c>
      <c r="K21" s="7">
        <v>-0.16</v>
      </c>
      <c r="L21" s="7">
        <v>0.02</v>
      </c>
      <c r="M21" s="50" t="s">
        <v>353</v>
      </c>
      <c r="N21" s="17" t="s">
        <v>356</v>
      </c>
    </row>
    <row r="22" spans="1:17" x14ac:dyDescent="0.2">
      <c r="A22" s="9">
        <v>85</v>
      </c>
      <c r="B22" s="46">
        <v>0.875</v>
      </c>
      <c r="C22" s="11" t="s">
        <v>363</v>
      </c>
      <c r="D22" s="12" t="s">
        <v>364</v>
      </c>
      <c r="E22" s="11">
        <v>21632</v>
      </c>
      <c r="F22" s="11">
        <v>42.4</v>
      </c>
      <c r="G22" s="13" t="s">
        <v>98</v>
      </c>
      <c r="H22" s="11">
        <v>4888</v>
      </c>
      <c r="I22" s="14">
        <f t="shared" si="0"/>
        <v>1.3577777777777778</v>
      </c>
      <c r="J22" s="49">
        <f>5464/60/60</f>
        <v>1.5177777777777777</v>
      </c>
      <c r="K22" s="11">
        <v>-0.12</v>
      </c>
      <c r="L22" s="11">
        <v>0.12</v>
      </c>
      <c r="M22" s="50" t="s">
        <v>362</v>
      </c>
      <c r="N22" s="17" t="s">
        <v>356</v>
      </c>
    </row>
    <row r="23" spans="1:17" x14ac:dyDescent="0.2">
      <c r="A23" s="18">
        <v>86</v>
      </c>
      <c r="B23" s="19">
        <v>0</v>
      </c>
      <c r="C23" s="20" t="s">
        <v>365</v>
      </c>
      <c r="D23" s="21" t="s">
        <v>366</v>
      </c>
      <c r="E23" s="20"/>
      <c r="F23" s="20"/>
      <c r="G23" s="87"/>
      <c r="H23" s="20"/>
      <c r="I23" s="22"/>
      <c r="J23" s="22"/>
      <c r="K23" s="20">
        <v>-0.22</v>
      </c>
      <c r="L23" s="20">
        <v>0.14000000000000001</v>
      </c>
      <c r="M23" s="23" t="s">
        <v>367</v>
      </c>
      <c r="N23" s="17" t="s">
        <v>370</v>
      </c>
      <c r="O23" s="86" t="s">
        <v>374</v>
      </c>
    </row>
    <row r="24" spans="1:17" x14ac:dyDescent="0.2">
      <c r="A24" s="9">
        <v>87</v>
      </c>
      <c r="B24" s="46">
        <v>0</v>
      </c>
      <c r="C24" s="11" t="s">
        <v>368</v>
      </c>
      <c r="D24" s="12" t="s">
        <v>369</v>
      </c>
      <c r="E24" s="11">
        <v>17072</v>
      </c>
      <c r="F24" s="11">
        <v>93.3</v>
      </c>
      <c r="G24" s="13" t="s">
        <v>335</v>
      </c>
      <c r="H24" s="11">
        <v>3102</v>
      </c>
      <c r="I24" s="14">
        <f t="shared" si="0"/>
        <v>0.86166666666666669</v>
      </c>
      <c r="J24" s="49">
        <f>3102/60/60</f>
        <v>0.86166666666666669</v>
      </c>
      <c r="K24" s="11">
        <v>0</v>
      </c>
      <c r="L24" s="11">
        <v>0</v>
      </c>
      <c r="M24" s="15" t="s">
        <v>353</v>
      </c>
      <c r="N24" s="17" t="s">
        <v>370</v>
      </c>
    </row>
    <row r="25" spans="1:17" x14ac:dyDescent="0.2">
      <c r="A25" s="9">
        <v>88</v>
      </c>
      <c r="B25" s="46">
        <v>0.125</v>
      </c>
      <c r="C25" s="11" t="s">
        <v>371</v>
      </c>
      <c r="D25" s="12" t="s">
        <v>372</v>
      </c>
      <c r="E25" s="11">
        <v>26217</v>
      </c>
      <c r="F25" s="11">
        <v>20.3</v>
      </c>
      <c r="G25" s="13" t="s">
        <v>335</v>
      </c>
      <c r="H25" s="11">
        <v>4774</v>
      </c>
      <c r="I25" s="14">
        <f t="shared" si="0"/>
        <v>1.326111111111111</v>
      </c>
      <c r="J25" s="49">
        <f>5760/60/60</f>
        <v>1.6</v>
      </c>
      <c r="K25" s="11">
        <v>-0.15</v>
      </c>
      <c r="L25" s="11">
        <v>0.02</v>
      </c>
      <c r="M25" s="15" t="s">
        <v>353</v>
      </c>
      <c r="N25" s="17" t="s">
        <v>370</v>
      </c>
    </row>
    <row r="26" spans="1:17" x14ac:dyDescent="0.2">
      <c r="A26" s="24">
        <v>89</v>
      </c>
      <c r="B26" s="46">
        <v>0.25</v>
      </c>
      <c r="C26" s="11" t="s">
        <v>375</v>
      </c>
      <c r="D26" s="12" t="s">
        <v>376</v>
      </c>
      <c r="E26" s="7">
        <v>27055</v>
      </c>
      <c r="F26" s="7">
        <v>17.899999999999999</v>
      </c>
      <c r="G26" s="88" t="s">
        <v>228</v>
      </c>
      <c r="H26" s="7">
        <v>4990</v>
      </c>
      <c r="I26" s="33">
        <f t="shared" si="0"/>
        <v>1.3861111111111113</v>
      </c>
      <c r="K26" s="7">
        <v>-0.21</v>
      </c>
      <c r="L26" s="7">
        <v>0.1</v>
      </c>
      <c r="M26" s="7" t="s">
        <v>353</v>
      </c>
      <c r="N26" s="17" t="s">
        <v>373</v>
      </c>
    </row>
    <row r="27" spans="1:17" x14ac:dyDescent="0.2">
      <c r="A27" s="24">
        <v>90</v>
      </c>
      <c r="B27" s="46">
        <v>0.375</v>
      </c>
      <c r="C27" s="11" t="s">
        <v>377</v>
      </c>
      <c r="D27" s="12" t="s">
        <v>378</v>
      </c>
      <c r="E27" s="11">
        <v>25447</v>
      </c>
      <c r="F27" s="11">
        <v>23</v>
      </c>
      <c r="G27" s="13" t="s">
        <v>288</v>
      </c>
      <c r="H27" s="11">
        <v>4522</v>
      </c>
      <c r="I27" s="14">
        <f t="shared" ref="I27:I33" si="1">H27/60/60</f>
        <v>1.256111111111111</v>
      </c>
      <c r="J27" s="14">
        <v>1.59</v>
      </c>
      <c r="K27" s="11">
        <v>-0.18</v>
      </c>
      <c r="L27" s="11">
        <v>0.09</v>
      </c>
      <c r="M27" s="15" t="s">
        <v>353</v>
      </c>
      <c r="N27" s="17" t="s">
        <v>384</v>
      </c>
    </row>
    <row r="28" spans="1:17" x14ac:dyDescent="0.2">
      <c r="A28" s="24">
        <v>91</v>
      </c>
      <c r="B28" s="46">
        <v>0.5</v>
      </c>
      <c r="C28" s="11" t="s">
        <v>380</v>
      </c>
      <c r="D28" s="12" t="s">
        <v>381</v>
      </c>
      <c r="E28" s="11">
        <v>24965</v>
      </c>
      <c r="F28" s="11">
        <v>24.7</v>
      </c>
      <c r="G28" s="13" t="s">
        <v>335</v>
      </c>
      <c r="H28" s="11">
        <v>4548</v>
      </c>
      <c r="I28" s="14">
        <f t="shared" si="1"/>
        <v>1.2633333333333332</v>
      </c>
      <c r="J28" s="14"/>
      <c r="K28" s="11">
        <v>-0.19</v>
      </c>
      <c r="L28" s="11">
        <v>0.05</v>
      </c>
      <c r="M28" s="15" t="s">
        <v>202</v>
      </c>
      <c r="N28" s="17" t="s">
        <v>384</v>
      </c>
      <c r="O28" s="7" t="s">
        <v>176</v>
      </c>
      <c r="P28" s="7" t="s">
        <v>379</v>
      </c>
      <c r="Q28" s="7" t="s">
        <v>281</v>
      </c>
    </row>
    <row r="29" spans="1:17" x14ac:dyDescent="0.2">
      <c r="A29" s="24">
        <v>92</v>
      </c>
      <c r="B29" s="46">
        <v>0.625</v>
      </c>
      <c r="C29" s="11" t="s">
        <v>386</v>
      </c>
      <c r="D29" s="12" t="s">
        <v>387</v>
      </c>
      <c r="E29" s="11">
        <v>21852</v>
      </c>
      <c r="F29" s="11">
        <v>40.6</v>
      </c>
      <c r="G29" s="13" t="s">
        <v>388</v>
      </c>
      <c r="H29" s="11">
        <v>3794</v>
      </c>
      <c r="I29" s="14">
        <f t="shared" si="1"/>
        <v>1.0538888888888889</v>
      </c>
      <c r="J29" s="49">
        <f>4416/60/60</f>
        <v>1.2266666666666666</v>
      </c>
      <c r="K29" s="11">
        <v>-0.21</v>
      </c>
      <c r="L29" s="11">
        <v>0.12</v>
      </c>
      <c r="M29" s="15" t="s">
        <v>353</v>
      </c>
      <c r="N29" s="17" t="s">
        <v>385</v>
      </c>
    </row>
    <row r="30" spans="1:17" x14ac:dyDescent="0.2">
      <c r="A30" s="24">
        <v>93</v>
      </c>
      <c r="B30" s="46">
        <v>0.75</v>
      </c>
      <c r="C30" s="11" t="s">
        <v>389</v>
      </c>
      <c r="D30" s="12" t="s">
        <v>390</v>
      </c>
      <c r="E30" s="11">
        <v>9420</v>
      </c>
      <c r="F30" s="11">
        <v>314.7</v>
      </c>
      <c r="G30" s="13" t="s">
        <v>98</v>
      </c>
      <c r="H30" s="11">
        <v>2134</v>
      </c>
      <c r="I30" s="14">
        <f t="shared" si="1"/>
        <v>0.59277777777777785</v>
      </c>
      <c r="J30" s="49">
        <f>2180/60/60</f>
        <v>0.60555555555555562</v>
      </c>
      <c r="K30" s="11">
        <v>-0.16</v>
      </c>
      <c r="L30" s="11">
        <v>0.13</v>
      </c>
      <c r="M30" s="15" t="s">
        <v>353</v>
      </c>
      <c r="N30" s="17" t="s">
        <v>391</v>
      </c>
      <c r="O30" s="7" t="s">
        <v>392</v>
      </c>
    </row>
    <row r="31" spans="1:17" x14ac:dyDescent="0.2">
      <c r="A31" s="24">
        <v>94</v>
      </c>
      <c r="B31" s="46">
        <v>0.875</v>
      </c>
      <c r="C31" s="11" t="s">
        <v>393</v>
      </c>
      <c r="D31" s="12" t="s">
        <v>394</v>
      </c>
      <c r="E31" s="11">
        <v>10181</v>
      </c>
      <c r="F31" s="11">
        <v>283.5</v>
      </c>
      <c r="G31" s="13" t="s">
        <v>27</v>
      </c>
      <c r="H31" s="11">
        <v>1992</v>
      </c>
      <c r="I31" s="14">
        <f t="shared" si="1"/>
        <v>0.55333333333333334</v>
      </c>
      <c r="J31" s="49">
        <f>2984/60/60</f>
        <v>0.8288888888888889</v>
      </c>
      <c r="K31" s="11">
        <v>-0.14000000000000001</v>
      </c>
      <c r="L31" s="11">
        <v>0.11</v>
      </c>
      <c r="M31" s="15" t="s">
        <v>353</v>
      </c>
      <c r="N31" s="17" t="s">
        <v>391</v>
      </c>
      <c r="O31" s="7" t="s">
        <v>392</v>
      </c>
    </row>
    <row r="32" spans="1:17" x14ac:dyDescent="0.2">
      <c r="A32" s="24">
        <v>95</v>
      </c>
      <c r="B32" s="46">
        <v>0</v>
      </c>
      <c r="C32" s="11" t="s">
        <v>395</v>
      </c>
      <c r="D32" s="12" t="s">
        <v>396</v>
      </c>
      <c r="E32" s="11">
        <v>26898</v>
      </c>
      <c r="F32" s="11">
        <v>18.3</v>
      </c>
      <c r="G32" s="13" t="s">
        <v>284</v>
      </c>
      <c r="H32" s="11">
        <v>5088</v>
      </c>
      <c r="I32" s="14">
        <f t="shared" si="1"/>
        <v>1.4133333333333333</v>
      </c>
      <c r="J32" s="49">
        <f>5762/60/60</f>
        <v>1.6005555555555555</v>
      </c>
      <c r="K32" s="11">
        <v>-0.09</v>
      </c>
      <c r="L32" s="11">
        <v>0.1</v>
      </c>
      <c r="M32" s="15" t="s">
        <v>353</v>
      </c>
      <c r="N32" s="17" t="s">
        <v>391</v>
      </c>
    </row>
    <row r="33" spans="1:14" ht="13.5" thickBot="1" x14ac:dyDescent="0.25">
      <c r="A33" s="25">
        <v>96</v>
      </c>
      <c r="B33" s="55">
        <v>0.125</v>
      </c>
      <c r="C33" s="27" t="s">
        <v>398</v>
      </c>
      <c r="D33" s="28" t="s">
        <v>399</v>
      </c>
      <c r="E33" s="27">
        <v>25769</v>
      </c>
      <c r="F33" s="27">
        <v>21.8</v>
      </c>
      <c r="G33" s="29" t="s">
        <v>400</v>
      </c>
      <c r="H33" s="27">
        <v>5196</v>
      </c>
      <c r="I33" s="30">
        <f t="shared" si="1"/>
        <v>1.4433333333333331</v>
      </c>
      <c r="J33" s="49">
        <f>6066/60/60</f>
        <v>1.6849999999999998</v>
      </c>
      <c r="K33" s="27">
        <v>-0.06</v>
      </c>
      <c r="L33" s="27">
        <v>0.12</v>
      </c>
      <c r="M33" s="15" t="s">
        <v>353</v>
      </c>
      <c r="N33" s="17" t="s">
        <v>397</v>
      </c>
    </row>
    <row r="35" spans="1:14" x14ac:dyDescent="0.2">
      <c r="A35" s="34" t="s">
        <v>74</v>
      </c>
      <c r="B35" s="35"/>
      <c r="C35" s="34"/>
      <c r="D35" s="36"/>
      <c r="E35" s="37">
        <f>AVERAGE(E2:E34)</f>
        <v>23610.290322580644</v>
      </c>
      <c r="F35" s="39">
        <f>AVERAGE(F2:F34)</f>
        <v>47.448387096774184</v>
      </c>
      <c r="G35" s="36"/>
      <c r="H35" s="34"/>
      <c r="I35" s="38">
        <f>AVERAGE(I2:I34)</f>
        <v>1.2730645161290324</v>
      </c>
      <c r="J35" s="38">
        <f>AVERAGE(J2:J34)</f>
        <v>1.5207246376811596</v>
      </c>
    </row>
    <row r="36" spans="1:14" x14ac:dyDescent="0.2">
      <c r="A36" s="34" t="s">
        <v>75</v>
      </c>
      <c r="B36" s="35"/>
      <c r="C36" s="34"/>
      <c r="D36" s="36"/>
      <c r="E36" s="34">
        <f>MAX(E2:E35)</f>
        <v>28250</v>
      </c>
      <c r="F36" s="34">
        <f>MAX(F2:F35)</f>
        <v>314.7</v>
      </c>
      <c r="G36" s="36"/>
      <c r="H36" s="34"/>
      <c r="I36" s="38">
        <f>MAX(I2:I35)</f>
        <v>1.7661111111111112</v>
      </c>
      <c r="J36" s="38">
        <f>MAX(J2:J35)</f>
        <v>1.9572222222222222</v>
      </c>
    </row>
    <row r="37" spans="1:14" x14ac:dyDescent="0.2">
      <c r="A37" s="34" t="s">
        <v>76</v>
      </c>
      <c r="B37" s="35"/>
      <c r="C37" s="34"/>
      <c r="D37" s="36"/>
      <c r="E37" s="34">
        <f>MIN(E2:E36)</f>
        <v>9420</v>
      </c>
      <c r="F37" s="34">
        <f>MIN(F2:F36)</f>
        <v>14.9</v>
      </c>
      <c r="G37" s="36"/>
      <c r="H37" s="34"/>
      <c r="I37" s="38">
        <f>MIN(I2:I36)</f>
        <v>0.55333333333333334</v>
      </c>
      <c r="J37" s="38">
        <f>MIN(J2:J36)</f>
        <v>0.60555555555555562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opLeftCell="A6" workbookViewId="0">
      <selection activeCell="A2" sqref="A2:J33"/>
    </sheetView>
  </sheetViews>
  <sheetFormatPr defaultRowHeight="12.75" x14ac:dyDescent="0.2"/>
  <cols>
    <col min="1" max="1" width="7.140625" style="7" customWidth="1"/>
    <col min="2" max="2" width="6.7109375" style="32" customWidth="1"/>
    <col min="3" max="3" width="9.140625" style="7"/>
    <col min="4" max="4" width="15.7109375" style="17" customWidth="1"/>
    <col min="5" max="5" width="9.140625" style="7"/>
    <col min="6" max="6" width="6.5703125" style="7" customWidth="1"/>
    <col min="7" max="7" width="11.42578125" style="17" bestFit="1" customWidth="1"/>
    <col min="8" max="8" width="11.140625" style="7" customWidth="1"/>
    <col min="9" max="10" width="12.28515625" style="33" customWidth="1"/>
    <col min="11" max="12" width="9.140625" style="7"/>
    <col min="13" max="13" width="10.7109375" style="7" customWidth="1"/>
    <col min="14" max="14" width="9.140625" style="17"/>
    <col min="15" max="16" width="9.140625" style="7"/>
    <col min="17" max="17" width="10.42578125" style="7" customWidth="1"/>
    <col min="18" max="16384" width="9.140625" style="7"/>
  </cols>
  <sheetData>
    <row r="1" spans="1:17" ht="13.5" thickBot="1" x14ac:dyDescent="0.25">
      <c r="A1" s="1" t="s">
        <v>0</v>
      </c>
      <c r="B1" s="2" t="s">
        <v>10</v>
      </c>
      <c r="C1" s="3" t="s">
        <v>1</v>
      </c>
      <c r="D1" s="4" t="s">
        <v>19</v>
      </c>
      <c r="E1" s="3" t="s">
        <v>2</v>
      </c>
      <c r="F1" s="3" t="s">
        <v>3</v>
      </c>
      <c r="G1" s="4" t="s">
        <v>4</v>
      </c>
      <c r="H1" s="3" t="s">
        <v>6</v>
      </c>
      <c r="I1" s="5" t="s">
        <v>5</v>
      </c>
      <c r="J1" s="5" t="s">
        <v>72</v>
      </c>
      <c r="K1" s="3" t="s">
        <v>7</v>
      </c>
      <c r="L1" s="3" t="s">
        <v>8</v>
      </c>
      <c r="M1" s="6" t="s">
        <v>12</v>
      </c>
      <c r="N1" s="8" t="s">
        <v>25</v>
      </c>
      <c r="O1" s="7" t="s">
        <v>242</v>
      </c>
      <c r="P1" s="34" t="s">
        <v>251</v>
      </c>
      <c r="Q1" s="34" t="s">
        <v>252</v>
      </c>
    </row>
    <row r="2" spans="1:17" x14ac:dyDescent="0.2">
      <c r="A2" s="9">
        <v>97</v>
      </c>
      <c r="B2" s="46">
        <v>0.25</v>
      </c>
      <c r="C2" s="11" t="s">
        <v>401</v>
      </c>
      <c r="D2" s="12" t="s">
        <v>402</v>
      </c>
      <c r="E2" s="11">
        <v>17562</v>
      </c>
      <c r="F2" s="11">
        <v>85.6</v>
      </c>
      <c r="G2" s="13" t="s">
        <v>473</v>
      </c>
      <c r="H2" s="11">
        <v>3520</v>
      </c>
      <c r="I2" s="14">
        <f>H2/3600</f>
        <v>0.97777777777777775</v>
      </c>
      <c r="J2" s="49"/>
      <c r="K2" s="11">
        <v>-0.16</v>
      </c>
      <c r="L2" s="11">
        <v>0.04</v>
      </c>
      <c r="M2" s="15" t="s">
        <v>353</v>
      </c>
      <c r="N2" s="8" t="s">
        <v>397</v>
      </c>
      <c r="O2" s="84"/>
      <c r="P2" s="84"/>
      <c r="Q2" s="84"/>
    </row>
    <row r="3" spans="1:17" x14ac:dyDescent="0.2">
      <c r="A3" s="24">
        <v>98</v>
      </c>
      <c r="B3" s="46">
        <v>0.375</v>
      </c>
      <c r="C3" s="11" t="s">
        <v>403</v>
      </c>
      <c r="D3" s="12" t="s">
        <v>404</v>
      </c>
      <c r="E3" s="11">
        <v>25697</v>
      </c>
      <c r="F3" s="11">
        <v>22.1</v>
      </c>
      <c r="G3" s="13" t="s">
        <v>405</v>
      </c>
      <c r="H3" s="11">
        <v>5296</v>
      </c>
      <c r="I3" s="14">
        <f t="shared" ref="I3:I33" si="0">H3/3600</f>
        <v>1.471111111111111</v>
      </c>
      <c r="J3" s="14"/>
      <c r="K3" s="11">
        <v>-0.14000000000000001</v>
      </c>
      <c r="L3" s="11">
        <v>0.19</v>
      </c>
      <c r="M3" s="15" t="s">
        <v>353</v>
      </c>
      <c r="N3" s="8" t="s">
        <v>397</v>
      </c>
      <c r="O3" s="84"/>
      <c r="P3" s="84"/>
      <c r="Q3" s="84"/>
    </row>
    <row r="4" spans="1:17" x14ac:dyDescent="0.2">
      <c r="A4" s="24">
        <v>99</v>
      </c>
      <c r="B4" s="46">
        <v>0.5</v>
      </c>
      <c r="C4" s="40" t="s">
        <v>406</v>
      </c>
      <c r="D4" s="47" t="s">
        <v>407</v>
      </c>
      <c r="E4" s="40">
        <v>18310</v>
      </c>
      <c r="F4" s="40">
        <v>74.599999999999994</v>
      </c>
      <c r="G4" s="48" t="s">
        <v>408</v>
      </c>
      <c r="H4" s="40">
        <v>3982</v>
      </c>
      <c r="I4" s="14">
        <f t="shared" si="0"/>
        <v>1.106111111111111</v>
      </c>
      <c r="K4" s="40">
        <v>-0.14000000000000001</v>
      </c>
      <c r="L4" s="40">
        <v>0.12</v>
      </c>
      <c r="M4" s="15" t="s">
        <v>353</v>
      </c>
      <c r="N4" s="8" t="s">
        <v>409</v>
      </c>
      <c r="O4" s="84"/>
      <c r="P4" s="84"/>
      <c r="Q4" s="84"/>
    </row>
    <row r="5" spans="1:17" x14ac:dyDescent="0.2">
      <c r="A5" s="24">
        <v>100</v>
      </c>
      <c r="B5" s="46">
        <v>0.625</v>
      </c>
      <c r="C5" s="40" t="s">
        <v>410</v>
      </c>
      <c r="D5" s="47" t="s">
        <v>411</v>
      </c>
      <c r="E5" s="40">
        <v>27574</v>
      </c>
      <c r="F5" s="40">
        <v>16.399999999999999</v>
      </c>
      <c r="G5" s="48" t="s">
        <v>413</v>
      </c>
      <c r="H5" s="40">
        <v>6080</v>
      </c>
      <c r="I5" s="14">
        <f t="shared" si="0"/>
        <v>1.6888888888888889</v>
      </c>
      <c r="J5" s="49">
        <f>7372/60/60</f>
        <v>2.0477777777777777</v>
      </c>
      <c r="K5" s="40">
        <v>-7.0000000000000007E-2</v>
      </c>
      <c r="L5" s="40">
        <v>0.09</v>
      </c>
      <c r="M5" s="15" t="s">
        <v>353</v>
      </c>
      <c r="N5" s="8" t="s">
        <v>412</v>
      </c>
      <c r="O5" s="84"/>
      <c r="P5" s="84"/>
      <c r="Q5" s="84"/>
    </row>
    <row r="6" spans="1:17" x14ac:dyDescent="0.2">
      <c r="A6" s="24">
        <v>101</v>
      </c>
      <c r="B6" s="46">
        <v>0.75</v>
      </c>
      <c r="C6" s="7" t="s">
        <v>414</v>
      </c>
      <c r="D6" s="47" t="s">
        <v>415</v>
      </c>
      <c r="E6" s="40">
        <v>25456</v>
      </c>
      <c r="F6" s="40">
        <v>23</v>
      </c>
      <c r="G6" s="48" t="s">
        <v>418</v>
      </c>
      <c r="H6" s="40">
        <v>4364</v>
      </c>
      <c r="I6" s="14">
        <f t="shared" si="0"/>
        <v>1.2122222222222223</v>
      </c>
      <c r="J6" s="49">
        <f>4996/60/60</f>
        <v>1.3877777777777778</v>
      </c>
      <c r="K6" s="40">
        <v>-7.0000000000000007E-2</v>
      </c>
      <c r="L6" s="40">
        <v>0.09</v>
      </c>
      <c r="M6" s="15" t="s">
        <v>353</v>
      </c>
      <c r="N6" s="17" t="s">
        <v>412</v>
      </c>
      <c r="O6" s="84"/>
      <c r="P6" s="84"/>
      <c r="Q6" s="84"/>
    </row>
    <row r="7" spans="1:17" x14ac:dyDescent="0.2">
      <c r="A7" s="24">
        <v>102</v>
      </c>
      <c r="B7" s="46">
        <v>0.875</v>
      </c>
      <c r="C7" s="40" t="s">
        <v>419</v>
      </c>
      <c r="D7" s="47" t="s">
        <v>420</v>
      </c>
      <c r="E7" s="40">
        <v>29108</v>
      </c>
      <c r="F7" s="40">
        <v>13</v>
      </c>
      <c r="G7" s="48" t="s">
        <v>422</v>
      </c>
      <c r="H7" s="40">
        <v>5630</v>
      </c>
      <c r="I7" s="14">
        <f t="shared" si="0"/>
        <v>1.5638888888888889</v>
      </c>
      <c r="J7" s="49">
        <f>6528/60/60</f>
        <v>1.8133333333333332</v>
      </c>
      <c r="K7" s="40">
        <v>-0.11</v>
      </c>
      <c r="L7" s="40">
        <v>0.34</v>
      </c>
      <c r="M7" s="15" t="s">
        <v>353</v>
      </c>
      <c r="N7" s="17" t="s">
        <v>412</v>
      </c>
      <c r="O7" s="84"/>
      <c r="P7" s="84"/>
      <c r="Q7" s="84"/>
    </row>
    <row r="8" spans="1:17" x14ac:dyDescent="0.2">
      <c r="A8" s="24">
        <v>103</v>
      </c>
      <c r="B8" s="46">
        <v>0</v>
      </c>
      <c r="C8" s="40" t="s">
        <v>423</v>
      </c>
      <c r="D8" s="47" t="s">
        <v>424</v>
      </c>
      <c r="E8" s="40">
        <v>26118</v>
      </c>
      <c r="F8" s="40">
        <v>20.6</v>
      </c>
      <c r="G8" s="48" t="s">
        <v>288</v>
      </c>
      <c r="H8" s="40">
        <v>4622</v>
      </c>
      <c r="I8" s="14">
        <f t="shared" si="0"/>
        <v>1.2838888888888889</v>
      </c>
      <c r="J8" s="49">
        <f>5650/60/60</f>
        <v>1.5694444444444444</v>
      </c>
      <c r="K8" s="40">
        <v>-0.14000000000000001</v>
      </c>
      <c r="L8" s="40">
        <v>0.14000000000000001</v>
      </c>
      <c r="M8" s="15" t="s">
        <v>353</v>
      </c>
      <c r="N8" s="17" t="s">
        <v>421</v>
      </c>
      <c r="Q8" s="84"/>
    </row>
    <row r="9" spans="1:17" x14ac:dyDescent="0.2">
      <c r="A9" s="24">
        <v>104</v>
      </c>
      <c r="B9" s="46">
        <v>0.125</v>
      </c>
      <c r="C9" s="40" t="s">
        <v>425</v>
      </c>
      <c r="D9" s="47" t="s">
        <v>428</v>
      </c>
      <c r="E9" s="40">
        <v>19514</v>
      </c>
      <c r="F9" s="40">
        <v>60.6</v>
      </c>
      <c r="G9" s="48" t="s">
        <v>429</v>
      </c>
      <c r="H9" s="40">
        <v>5496</v>
      </c>
      <c r="I9" s="14">
        <f t="shared" si="0"/>
        <v>1.5266666666666666</v>
      </c>
      <c r="J9" s="49"/>
      <c r="K9" s="40">
        <v>-0.05</v>
      </c>
      <c r="L9" s="40">
        <v>0.65</v>
      </c>
      <c r="M9" s="15" t="s">
        <v>426</v>
      </c>
      <c r="N9" s="17" t="s">
        <v>416</v>
      </c>
      <c r="O9" s="7" t="s">
        <v>427</v>
      </c>
    </row>
    <row r="10" spans="1:17" x14ac:dyDescent="0.2">
      <c r="A10" s="24">
        <v>105</v>
      </c>
      <c r="B10" s="46">
        <v>0.25</v>
      </c>
      <c r="C10" s="40" t="s">
        <v>430</v>
      </c>
      <c r="D10" s="47" t="s">
        <v>431</v>
      </c>
      <c r="E10" s="40">
        <v>26047</v>
      </c>
      <c r="F10" s="40">
        <v>20.9</v>
      </c>
      <c r="G10" s="48" t="s">
        <v>241</v>
      </c>
      <c r="H10" s="40">
        <v>4958</v>
      </c>
      <c r="I10" s="14">
        <f t="shared" si="0"/>
        <v>1.3772222222222221</v>
      </c>
      <c r="J10" s="49"/>
      <c r="K10" s="40">
        <v>-0.14000000000000001</v>
      </c>
      <c r="L10" s="40">
        <v>0.11</v>
      </c>
      <c r="M10" s="50" t="s">
        <v>353</v>
      </c>
      <c r="N10" s="17" t="s">
        <v>416</v>
      </c>
    </row>
    <row r="11" spans="1:17" x14ac:dyDescent="0.2">
      <c r="A11" s="24">
        <v>106</v>
      </c>
      <c r="B11" s="46">
        <v>0.375</v>
      </c>
      <c r="C11" s="40" t="s">
        <v>433</v>
      </c>
      <c r="D11" s="47" t="s">
        <v>434</v>
      </c>
      <c r="E11" s="40">
        <v>24908</v>
      </c>
      <c r="F11" s="40">
        <v>25</v>
      </c>
      <c r="G11" s="48" t="s">
        <v>228</v>
      </c>
      <c r="H11" s="40">
        <v>4646</v>
      </c>
      <c r="I11" s="14">
        <f t="shared" si="0"/>
        <v>1.2905555555555555</v>
      </c>
      <c r="J11" s="49"/>
      <c r="K11" s="40">
        <v>-0.1</v>
      </c>
      <c r="L11" s="40">
        <v>-0.23</v>
      </c>
      <c r="M11" s="50" t="s">
        <v>353</v>
      </c>
      <c r="N11" s="17" t="s">
        <v>432</v>
      </c>
    </row>
    <row r="12" spans="1:17" x14ac:dyDescent="0.2">
      <c r="A12" s="24">
        <v>107</v>
      </c>
      <c r="B12" s="46">
        <v>0.5</v>
      </c>
      <c r="C12" s="40" t="s">
        <v>435</v>
      </c>
      <c r="D12" s="47" t="s">
        <v>436</v>
      </c>
      <c r="E12" s="40">
        <v>17766</v>
      </c>
      <c r="F12" s="40">
        <v>82.2</v>
      </c>
      <c r="G12" s="48" t="s">
        <v>422</v>
      </c>
      <c r="H12" s="40">
        <v>3498</v>
      </c>
      <c r="I12" s="14">
        <f t="shared" si="0"/>
        <v>0.97166666666666668</v>
      </c>
      <c r="J12" s="49"/>
      <c r="K12" s="40">
        <v>-0.11</v>
      </c>
      <c r="L12" s="40">
        <v>0.1</v>
      </c>
      <c r="M12" s="50" t="s">
        <v>353</v>
      </c>
      <c r="N12" s="17" t="s">
        <v>417</v>
      </c>
    </row>
    <row r="13" spans="1:17" x14ac:dyDescent="0.2">
      <c r="A13" s="24">
        <v>108</v>
      </c>
      <c r="B13" s="46">
        <v>0.625</v>
      </c>
      <c r="C13" s="40" t="s">
        <v>437</v>
      </c>
      <c r="D13" s="47" t="s">
        <v>438</v>
      </c>
      <c r="E13" s="40">
        <v>26221</v>
      </c>
      <c r="F13" s="40">
        <v>20.2</v>
      </c>
      <c r="G13" s="48" t="s">
        <v>439</v>
      </c>
      <c r="H13" s="40">
        <v>4604</v>
      </c>
      <c r="I13" s="14">
        <f t="shared" si="0"/>
        <v>1.278888888888889</v>
      </c>
      <c r="K13" s="40">
        <v>-0.08</v>
      </c>
      <c r="L13" s="40">
        <v>0.04</v>
      </c>
      <c r="M13" s="50" t="s">
        <v>353</v>
      </c>
      <c r="N13" s="17" t="s">
        <v>417</v>
      </c>
    </row>
    <row r="14" spans="1:17" x14ac:dyDescent="0.2">
      <c r="A14" s="24">
        <v>109</v>
      </c>
      <c r="B14" s="46">
        <v>0.75</v>
      </c>
      <c r="C14" s="40" t="s">
        <v>440</v>
      </c>
      <c r="D14" s="47" t="s">
        <v>442</v>
      </c>
      <c r="E14" s="40">
        <v>26469</v>
      </c>
      <c r="F14" s="40">
        <v>19.399999999999999</v>
      </c>
      <c r="G14" s="48" t="s">
        <v>284</v>
      </c>
      <c r="H14" s="40">
        <v>5066</v>
      </c>
      <c r="I14" s="14">
        <f t="shared" si="0"/>
        <v>1.4072222222222222</v>
      </c>
      <c r="J14" s="49">
        <f>5712/60/60</f>
        <v>1.5866666666666667</v>
      </c>
      <c r="K14" s="40">
        <v>-7.0000000000000007E-2</v>
      </c>
      <c r="L14" s="40">
        <v>0.02</v>
      </c>
      <c r="M14" s="50" t="s">
        <v>353</v>
      </c>
      <c r="N14" s="17" t="s">
        <v>441</v>
      </c>
    </row>
    <row r="15" spans="1:17" x14ac:dyDescent="0.2">
      <c r="A15" s="24">
        <v>110</v>
      </c>
      <c r="B15" s="46">
        <v>0.875</v>
      </c>
      <c r="C15" s="40" t="s">
        <v>444</v>
      </c>
      <c r="D15" s="47" t="s">
        <v>445</v>
      </c>
      <c r="E15" s="40">
        <v>27260</v>
      </c>
      <c r="F15" s="40">
        <v>17.2</v>
      </c>
      <c r="G15" s="48" t="s">
        <v>98</v>
      </c>
      <c r="H15" s="40">
        <v>6170</v>
      </c>
      <c r="I15" s="14">
        <f t="shared" si="0"/>
        <v>1.7138888888888888</v>
      </c>
      <c r="J15" s="49"/>
      <c r="K15" s="40">
        <v>-0.12</v>
      </c>
      <c r="L15" s="40">
        <v>-0.01</v>
      </c>
      <c r="M15" s="50" t="s">
        <v>353</v>
      </c>
      <c r="N15" s="17" t="s">
        <v>443</v>
      </c>
    </row>
    <row r="16" spans="1:17" x14ac:dyDescent="0.2">
      <c r="A16" s="24">
        <v>111</v>
      </c>
      <c r="B16" s="46">
        <v>0</v>
      </c>
      <c r="C16" s="40" t="s">
        <v>448</v>
      </c>
      <c r="D16" s="47" t="s">
        <v>446</v>
      </c>
      <c r="E16" s="40">
        <v>25940</v>
      </c>
      <c r="F16" s="40">
        <v>21.1</v>
      </c>
      <c r="G16" s="48" t="s">
        <v>447</v>
      </c>
      <c r="H16" s="40">
        <v>5226</v>
      </c>
      <c r="I16" s="14">
        <f t="shared" si="0"/>
        <v>1.4516666666666667</v>
      </c>
      <c r="J16" s="49">
        <f>5942/60/60</f>
        <v>1.6505555555555556</v>
      </c>
      <c r="K16" s="40">
        <v>-0.18</v>
      </c>
      <c r="L16" s="40">
        <v>0.08</v>
      </c>
      <c r="M16" s="50" t="s">
        <v>353</v>
      </c>
      <c r="N16" s="17" t="s">
        <v>443</v>
      </c>
    </row>
    <row r="17" spans="1:15" x14ac:dyDescent="0.2">
      <c r="A17" s="24">
        <v>112</v>
      </c>
      <c r="B17" s="46">
        <v>0.125</v>
      </c>
      <c r="C17" s="40" t="s">
        <v>449</v>
      </c>
      <c r="D17" s="47" t="s">
        <v>450</v>
      </c>
      <c r="E17" s="40">
        <v>16995</v>
      </c>
      <c r="F17" s="40">
        <v>95.1</v>
      </c>
      <c r="G17" s="48" t="s">
        <v>451</v>
      </c>
      <c r="H17" s="40">
        <v>2538</v>
      </c>
      <c r="I17" s="14">
        <f t="shared" si="0"/>
        <v>0.70499999999999996</v>
      </c>
      <c r="J17" s="49"/>
      <c r="K17" s="40">
        <v>-7.0000000000000007E-2</v>
      </c>
      <c r="L17" s="40">
        <v>0.49</v>
      </c>
      <c r="M17" s="50" t="s">
        <v>353</v>
      </c>
      <c r="N17" s="17" t="s">
        <v>443</v>
      </c>
      <c r="O17" s="7" t="s">
        <v>452</v>
      </c>
    </row>
    <row r="18" spans="1:15" x14ac:dyDescent="0.2">
      <c r="A18" s="24">
        <v>113</v>
      </c>
      <c r="B18" s="46">
        <v>0.25</v>
      </c>
      <c r="C18" s="40" t="s">
        <v>453</v>
      </c>
      <c r="D18" s="47" t="s">
        <v>454</v>
      </c>
      <c r="E18" s="40">
        <v>26112</v>
      </c>
      <c r="F18" s="40">
        <v>20.6</v>
      </c>
      <c r="G18" s="48" t="s">
        <v>413</v>
      </c>
      <c r="H18" s="40">
        <v>5786</v>
      </c>
      <c r="I18" s="14">
        <f t="shared" si="0"/>
        <v>1.6072222222222223</v>
      </c>
      <c r="J18" s="49"/>
      <c r="K18" s="40">
        <v>-0.09</v>
      </c>
      <c r="L18" s="40">
        <v>-0.96</v>
      </c>
      <c r="M18" s="50" t="s">
        <v>353</v>
      </c>
      <c r="N18" s="17" t="s">
        <v>455</v>
      </c>
    </row>
    <row r="19" spans="1:15" x14ac:dyDescent="0.2">
      <c r="A19" s="24">
        <v>114</v>
      </c>
      <c r="B19" s="46">
        <v>0.375</v>
      </c>
      <c r="C19" s="40" t="s">
        <v>440</v>
      </c>
      <c r="D19" s="47" t="s">
        <v>456</v>
      </c>
      <c r="E19" s="40">
        <v>26775</v>
      </c>
      <c r="F19" s="40">
        <v>18.600000000000001</v>
      </c>
      <c r="G19" s="48" t="s">
        <v>422</v>
      </c>
      <c r="H19" s="40">
        <v>5292</v>
      </c>
      <c r="I19" s="14">
        <f t="shared" si="0"/>
        <v>1.47</v>
      </c>
      <c r="K19" s="40">
        <v>-0.1</v>
      </c>
      <c r="L19" s="40">
        <v>-0.03</v>
      </c>
      <c r="M19" s="50" t="s">
        <v>353</v>
      </c>
      <c r="N19" s="17" t="s">
        <v>460</v>
      </c>
    </row>
    <row r="20" spans="1:15" x14ac:dyDescent="0.2">
      <c r="A20" s="24">
        <v>115</v>
      </c>
      <c r="B20" s="46">
        <v>0.5</v>
      </c>
      <c r="C20" s="40" t="s">
        <v>457</v>
      </c>
      <c r="D20" s="47" t="s">
        <v>458</v>
      </c>
      <c r="E20" s="40">
        <v>25140</v>
      </c>
      <c r="F20" s="40">
        <v>24</v>
      </c>
      <c r="G20" s="48" t="s">
        <v>459</v>
      </c>
      <c r="H20" s="40">
        <v>5276</v>
      </c>
      <c r="I20" s="14">
        <f t="shared" si="0"/>
        <v>1.4655555555555555</v>
      </c>
      <c r="J20" s="49"/>
      <c r="K20" s="40">
        <v>-0.15</v>
      </c>
      <c r="L20" s="40">
        <v>-7.0000000000000007E-2</v>
      </c>
      <c r="M20" s="50" t="s">
        <v>353</v>
      </c>
      <c r="N20" s="17" t="s">
        <v>460</v>
      </c>
    </row>
    <row r="21" spans="1:15" x14ac:dyDescent="0.2">
      <c r="A21" s="9">
        <v>116</v>
      </c>
      <c r="B21" s="46">
        <v>0.625</v>
      </c>
      <c r="C21" s="40" t="s">
        <v>461</v>
      </c>
      <c r="D21" s="47" t="s">
        <v>462</v>
      </c>
      <c r="E21" s="40">
        <v>26973</v>
      </c>
      <c r="F21" s="40">
        <v>17.899999999999999</v>
      </c>
      <c r="G21" s="48" t="s">
        <v>27</v>
      </c>
      <c r="H21" s="40">
        <v>5382</v>
      </c>
      <c r="I21" s="14">
        <f t="shared" si="0"/>
        <v>1.4950000000000001</v>
      </c>
      <c r="J21" s="49"/>
      <c r="K21" s="11">
        <v>-0.08</v>
      </c>
      <c r="L21" s="11">
        <v>-0.19</v>
      </c>
      <c r="M21" s="50" t="s">
        <v>353</v>
      </c>
      <c r="N21" s="17" t="s">
        <v>460</v>
      </c>
    </row>
    <row r="22" spans="1:15" x14ac:dyDescent="0.2">
      <c r="A22" s="9">
        <v>117</v>
      </c>
      <c r="B22" s="46">
        <v>0.75</v>
      </c>
      <c r="C22" s="11" t="s">
        <v>463</v>
      </c>
      <c r="D22" s="12" t="s">
        <v>464</v>
      </c>
      <c r="E22" s="11">
        <v>27003</v>
      </c>
      <c r="F22" s="11">
        <v>17.899999999999999</v>
      </c>
      <c r="G22" s="13" t="s">
        <v>241</v>
      </c>
      <c r="H22" s="11">
        <v>5064</v>
      </c>
      <c r="I22" s="14">
        <f t="shared" si="0"/>
        <v>1.4066666666666667</v>
      </c>
      <c r="J22" s="49">
        <f>5670/60/60</f>
        <v>1.575</v>
      </c>
      <c r="K22" s="11">
        <v>-0.13</v>
      </c>
      <c r="L22" s="11">
        <v>0.03</v>
      </c>
      <c r="M22" s="50" t="s">
        <v>353</v>
      </c>
      <c r="N22" s="17" t="s">
        <v>465</v>
      </c>
      <c r="O22" s="7" t="s">
        <v>466</v>
      </c>
    </row>
    <row r="23" spans="1:15" x14ac:dyDescent="0.2">
      <c r="A23" s="9">
        <v>118</v>
      </c>
      <c r="B23" s="46">
        <v>0.875</v>
      </c>
      <c r="C23" s="40" t="s">
        <v>467</v>
      </c>
      <c r="D23" s="47" t="s">
        <v>468</v>
      </c>
      <c r="E23" s="11">
        <v>28314</v>
      </c>
      <c r="F23" s="11">
        <v>14.6</v>
      </c>
      <c r="G23" s="13" t="s">
        <v>469</v>
      </c>
      <c r="H23" s="11">
        <v>5972</v>
      </c>
      <c r="I23" s="14">
        <f t="shared" si="0"/>
        <v>1.6588888888888889</v>
      </c>
      <c r="J23" s="49">
        <f>6596/60/60</f>
        <v>1.8322222222222222</v>
      </c>
      <c r="K23" s="11">
        <v>-0.03</v>
      </c>
      <c r="L23" s="11">
        <v>-0.21</v>
      </c>
      <c r="M23" s="15" t="s">
        <v>353</v>
      </c>
      <c r="N23" s="17" t="s">
        <v>465</v>
      </c>
    </row>
    <row r="24" spans="1:15" x14ac:dyDescent="0.2">
      <c r="A24" s="9">
        <v>119</v>
      </c>
      <c r="B24" s="46">
        <v>0</v>
      </c>
      <c r="C24" s="11" t="s">
        <v>470</v>
      </c>
      <c r="D24" s="12" t="s">
        <v>471</v>
      </c>
      <c r="E24" s="11">
        <v>26803</v>
      </c>
      <c r="F24" s="11">
        <v>18.399999999999999</v>
      </c>
      <c r="G24" s="13" t="s">
        <v>284</v>
      </c>
      <c r="H24" s="11">
        <v>5088</v>
      </c>
      <c r="I24" s="14">
        <f t="shared" si="0"/>
        <v>1.4133333333333333</v>
      </c>
      <c r="J24" s="49">
        <f>5722/60/60</f>
        <v>1.5894444444444444</v>
      </c>
      <c r="K24" s="11">
        <v>-0.1</v>
      </c>
      <c r="L24" s="11">
        <v>0</v>
      </c>
      <c r="M24" s="15" t="s">
        <v>353</v>
      </c>
      <c r="N24" s="17" t="s">
        <v>465</v>
      </c>
    </row>
    <row r="25" spans="1:15" x14ac:dyDescent="0.2">
      <c r="A25" s="24">
        <v>120</v>
      </c>
      <c r="B25" s="46">
        <v>0.125</v>
      </c>
      <c r="C25" s="11" t="s">
        <v>472</v>
      </c>
      <c r="D25" s="12" t="s">
        <v>474</v>
      </c>
      <c r="E25" s="11">
        <v>26945</v>
      </c>
      <c r="F25" s="11">
        <v>18.100000000000001</v>
      </c>
      <c r="G25" s="13" t="s">
        <v>477</v>
      </c>
      <c r="H25" s="11">
        <v>5512</v>
      </c>
      <c r="I25" s="14">
        <f t="shared" si="0"/>
        <v>1.5311111111111111</v>
      </c>
      <c r="J25" s="49">
        <f>6586/60/60</f>
        <v>1.8294444444444444</v>
      </c>
      <c r="K25" s="11">
        <v>-0.14000000000000001</v>
      </c>
      <c r="L25" s="11">
        <v>0.05</v>
      </c>
      <c r="M25" s="15" t="s">
        <v>353</v>
      </c>
      <c r="N25" s="17" t="s">
        <v>465</v>
      </c>
    </row>
    <row r="26" spans="1:15" x14ac:dyDescent="0.2">
      <c r="A26" s="24">
        <v>121</v>
      </c>
      <c r="B26" s="46">
        <v>0.25</v>
      </c>
      <c r="C26" s="11" t="s">
        <v>463</v>
      </c>
      <c r="D26" s="12" t="s">
        <v>478</v>
      </c>
      <c r="E26" s="11">
        <v>28334</v>
      </c>
      <c r="F26" s="11">
        <v>14.6</v>
      </c>
      <c r="G26" s="13" t="s">
        <v>413</v>
      </c>
      <c r="H26" s="11">
        <v>6256</v>
      </c>
      <c r="I26" s="14">
        <f t="shared" si="0"/>
        <v>1.7377777777777779</v>
      </c>
      <c r="J26" s="14"/>
      <c r="K26" s="11">
        <v>-7.0000000000000007E-2</v>
      </c>
      <c r="L26" s="11">
        <v>-0.03</v>
      </c>
      <c r="M26" s="15" t="s">
        <v>353</v>
      </c>
      <c r="N26" s="17" t="s">
        <v>475</v>
      </c>
    </row>
    <row r="27" spans="1:15" x14ac:dyDescent="0.2">
      <c r="A27" s="24">
        <v>122</v>
      </c>
      <c r="B27" s="46">
        <v>0.375</v>
      </c>
      <c r="C27" s="11" t="s">
        <v>479</v>
      </c>
      <c r="D27" s="12" t="s">
        <v>480</v>
      </c>
      <c r="E27" s="11">
        <v>27592</v>
      </c>
      <c r="F27" s="11">
        <v>16.3</v>
      </c>
      <c r="G27" s="13" t="s">
        <v>408</v>
      </c>
      <c r="H27" s="11">
        <v>5964</v>
      </c>
      <c r="I27" s="14">
        <f t="shared" si="0"/>
        <v>1.6566666666666667</v>
      </c>
      <c r="J27" s="14"/>
      <c r="K27" s="11">
        <v>-0.02</v>
      </c>
      <c r="L27" s="11">
        <v>-0.11</v>
      </c>
      <c r="M27" s="15" t="s">
        <v>353</v>
      </c>
      <c r="N27" s="17" t="s">
        <v>476</v>
      </c>
    </row>
    <row r="28" spans="1:15" x14ac:dyDescent="0.2">
      <c r="A28" s="24">
        <v>123</v>
      </c>
      <c r="B28" s="46">
        <v>0.5</v>
      </c>
      <c r="C28" s="11" t="s">
        <v>481</v>
      </c>
      <c r="D28" s="12" t="s">
        <v>482</v>
      </c>
      <c r="E28" s="11">
        <v>27400</v>
      </c>
      <c r="F28" s="11">
        <v>16.7</v>
      </c>
      <c r="G28" s="13" t="s">
        <v>408</v>
      </c>
      <c r="H28" s="11">
        <v>5932</v>
      </c>
      <c r="I28" s="14">
        <f t="shared" si="0"/>
        <v>1.6477777777777778</v>
      </c>
      <c r="J28" s="14"/>
      <c r="K28" s="11">
        <v>-0.1</v>
      </c>
      <c r="L28" s="11">
        <v>0.02</v>
      </c>
      <c r="M28" s="15" t="s">
        <v>353</v>
      </c>
      <c r="N28" s="17" t="s">
        <v>476</v>
      </c>
    </row>
    <row r="29" spans="1:15" x14ac:dyDescent="0.2">
      <c r="A29" s="24">
        <v>124</v>
      </c>
      <c r="B29" s="46">
        <v>0.625</v>
      </c>
      <c r="C29" s="11" t="s">
        <v>483</v>
      </c>
      <c r="D29" s="12" t="s">
        <v>484</v>
      </c>
      <c r="E29" s="11">
        <v>26738</v>
      </c>
      <c r="F29" s="11">
        <v>18.600000000000001</v>
      </c>
      <c r="G29" s="13" t="s">
        <v>422</v>
      </c>
      <c r="H29" s="11">
        <v>5262</v>
      </c>
      <c r="I29" s="14">
        <f t="shared" si="0"/>
        <v>1.4616666666666667</v>
      </c>
      <c r="J29" s="49">
        <f>5952/60/60</f>
        <v>1.6533333333333333</v>
      </c>
      <c r="K29" s="11">
        <v>-7.0000000000000007E-2</v>
      </c>
      <c r="L29" s="11">
        <v>-0.01</v>
      </c>
      <c r="M29" s="15" t="s">
        <v>353</v>
      </c>
      <c r="N29" s="17" t="s">
        <v>476</v>
      </c>
    </row>
    <row r="30" spans="1:15" x14ac:dyDescent="0.2">
      <c r="A30" s="24">
        <v>125</v>
      </c>
      <c r="B30" s="46">
        <v>0.75</v>
      </c>
      <c r="C30" s="11" t="s">
        <v>486</v>
      </c>
      <c r="D30" s="12" t="s">
        <v>487</v>
      </c>
      <c r="E30" s="11">
        <v>26930</v>
      </c>
      <c r="F30" s="11">
        <v>18</v>
      </c>
      <c r="G30" s="13" t="s">
        <v>408</v>
      </c>
      <c r="H30" s="11">
        <v>5842</v>
      </c>
      <c r="I30" s="14">
        <f t="shared" si="0"/>
        <v>1.6227777777777779</v>
      </c>
      <c r="J30" s="49">
        <f>6496/60/60</f>
        <v>1.8044444444444445</v>
      </c>
      <c r="K30" s="11">
        <v>-0.15</v>
      </c>
      <c r="L30" s="11">
        <v>-0.32</v>
      </c>
      <c r="M30" s="15" t="s">
        <v>353</v>
      </c>
      <c r="N30" s="17" t="s">
        <v>485</v>
      </c>
    </row>
    <row r="31" spans="1:15" x14ac:dyDescent="0.2">
      <c r="A31" s="24">
        <v>126</v>
      </c>
      <c r="B31" s="46">
        <v>0.875</v>
      </c>
      <c r="C31" s="11" t="s">
        <v>488</v>
      </c>
      <c r="D31" s="12" t="s">
        <v>489</v>
      </c>
      <c r="E31" s="11">
        <v>27897</v>
      </c>
      <c r="F31" s="11">
        <v>15.5</v>
      </c>
      <c r="G31" s="13" t="s">
        <v>308</v>
      </c>
      <c r="H31" s="11">
        <v>5804</v>
      </c>
      <c r="I31" s="14">
        <f t="shared" si="0"/>
        <v>1.6122222222222222</v>
      </c>
      <c r="J31" s="49"/>
      <c r="K31" s="11">
        <v>-0.21</v>
      </c>
      <c r="L31" s="11">
        <v>0.23</v>
      </c>
      <c r="M31" s="15" t="s">
        <v>353</v>
      </c>
      <c r="N31" s="17" t="s">
        <v>485</v>
      </c>
    </row>
    <row r="32" spans="1:15" x14ac:dyDescent="0.2">
      <c r="A32" s="24">
        <v>127</v>
      </c>
      <c r="B32" s="46">
        <v>0</v>
      </c>
      <c r="C32" s="11" t="s">
        <v>490</v>
      </c>
      <c r="D32" s="12" t="s">
        <v>491</v>
      </c>
      <c r="E32" s="11">
        <v>27725</v>
      </c>
      <c r="F32" s="11">
        <v>15.9</v>
      </c>
      <c r="G32" s="13" t="s">
        <v>469</v>
      </c>
      <c r="H32" s="11">
        <v>5898</v>
      </c>
      <c r="I32" s="14">
        <f t="shared" si="0"/>
        <v>1.6383333333333334</v>
      </c>
      <c r="J32" s="49">
        <f>6924/60/60</f>
        <v>1.9233333333333333</v>
      </c>
      <c r="K32" s="11">
        <v>-0.2</v>
      </c>
      <c r="L32" s="11">
        <v>0.11</v>
      </c>
      <c r="M32" s="15" t="s">
        <v>353</v>
      </c>
      <c r="N32" s="17" t="s">
        <v>485</v>
      </c>
    </row>
    <row r="33" spans="1:14" ht="13.5" thickBot="1" x14ac:dyDescent="0.25">
      <c r="A33" s="25">
        <v>128</v>
      </c>
      <c r="B33" s="46">
        <v>0.125</v>
      </c>
      <c r="C33" s="27" t="s">
        <v>492</v>
      </c>
      <c r="D33" s="28" t="s">
        <v>493</v>
      </c>
      <c r="E33" s="27">
        <v>26307</v>
      </c>
      <c r="F33" s="27">
        <v>19.8</v>
      </c>
      <c r="G33" s="29" t="s">
        <v>422</v>
      </c>
      <c r="H33" s="27">
        <v>5140</v>
      </c>
      <c r="I33" s="14">
        <f t="shared" si="0"/>
        <v>1.4277777777777778</v>
      </c>
      <c r="J33" s="49">
        <f>5760/60/60</f>
        <v>1.6</v>
      </c>
      <c r="K33" s="27">
        <v>-0.18</v>
      </c>
      <c r="L33" s="27">
        <v>0.24</v>
      </c>
      <c r="M33" s="31" t="s">
        <v>353</v>
      </c>
      <c r="N33" s="17" t="s">
        <v>485</v>
      </c>
    </row>
    <row r="35" spans="1:14" x14ac:dyDescent="0.2">
      <c r="A35" s="34" t="s">
        <v>74</v>
      </c>
      <c r="B35" s="35"/>
      <c r="C35" s="34"/>
      <c r="D35" s="36"/>
      <c r="E35" s="37">
        <f>AVERAGE(E2:E34)</f>
        <v>25435.40625</v>
      </c>
      <c r="F35" s="39">
        <f>AVERAGE(F2:F34)</f>
        <v>28.203124999999996</v>
      </c>
      <c r="G35" s="36"/>
      <c r="H35" s="34"/>
      <c r="I35" s="38">
        <f>AVERAGE(I2:I34)</f>
        <v>1.4337326388888889</v>
      </c>
      <c r="J35" s="38">
        <f>AVERAGE(J2:J34)</f>
        <v>1.7044841269841271</v>
      </c>
    </row>
    <row r="36" spans="1:14" x14ac:dyDescent="0.2">
      <c r="A36" s="34" t="s">
        <v>75</v>
      </c>
      <c r="B36" s="35"/>
      <c r="C36" s="34"/>
      <c r="D36" s="36"/>
      <c r="E36" s="34">
        <f>MAX(E2:E35)</f>
        <v>29108</v>
      </c>
      <c r="F36" s="34">
        <f>MAX(F2:F35)</f>
        <v>95.1</v>
      </c>
      <c r="G36" s="36"/>
      <c r="H36" s="34"/>
      <c r="I36" s="38">
        <f>MAX(I2:I35)</f>
        <v>1.7377777777777779</v>
      </c>
      <c r="J36" s="38">
        <f>MAX(J2:J35)</f>
        <v>2.0477777777777777</v>
      </c>
    </row>
    <row r="37" spans="1:14" x14ac:dyDescent="0.2">
      <c r="A37" s="34" t="s">
        <v>76</v>
      </c>
      <c r="B37" s="35"/>
      <c r="C37" s="34"/>
      <c r="D37" s="36"/>
      <c r="E37" s="34">
        <f>MIN(E2:E36)</f>
        <v>16995</v>
      </c>
      <c r="F37" s="34">
        <f>MIN(F2:F36)</f>
        <v>13</v>
      </c>
      <c r="G37" s="36"/>
      <c r="H37" s="34"/>
      <c r="I37" s="38">
        <f>MIN(I2:I36)</f>
        <v>0.70499999999999996</v>
      </c>
      <c r="J37" s="38">
        <f>MIN(J2:J36)</f>
        <v>1.3877777777777778</v>
      </c>
    </row>
  </sheetData>
  <pageMargins left="0.7" right="0.7" top="0.75" bottom="0.75" header="0.3" footer="0.3"/>
  <pageSetup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opLeftCell="A4" workbookViewId="0">
      <selection activeCell="A2" sqref="A2:J33"/>
    </sheetView>
  </sheetViews>
  <sheetFormatPr defaultRowHeight="12.75" x14ac:dyDescent="0.2"/>
  <cols>
    <col min="1" max="1" width="7.140625" style="7" customWidth="1"/>
    <col min="2" max="2" width="6.7109375" style="32" customWidth="1"/>
    <col min="3" max="3" width="9.140625" style="7"/>
    <col min="4" max="4" width="15.7109375" style="17" customWidth="1"/>
    <col min="5" max="5" width="9.140625" style="7"/>
    <col min="6" max="6" width="6.5703125" style="7" customWidth="1"/>
    <col min="7" max="7" width="11.42578125" style="17" bestFit="1" customWidth="1"/>
    <col min="8" max="8" width="11.140625" style="7" customWidth="1"/>
    <col min="9" max="10" width="12.28515625" style="33" customWidth="1"/>
    <col min="11" max="12" width="9.140625" style="7"/>
    <col min="13" max="13" width="10.7109375" style="7" customWidth="1"/>
    <col min="14" max="14" width="9.140625" style="17"/>
    <col min="15" max="16" width="9.140625" style="7"/>
    <col min="17" max="17" width="10.42578125" style="7" customWidth="1"/>
    <col min="18" max="16384" width="9.140625" style="7"/>
  </cols>
  <sheetData>
    <row r="1" spans="1:17" ht="13.5" thickBot="1" x14ac:dyDescent="0.25">
      <c r="A1" s="1" t="s">
        <v>0</v>
      </c>
      <c r="B1" s="2" t="s">
        <v>10</v>
      </c>
      <c r="C1" s="3" t="s">
        <v>1</v>
      </c>
      <c r="D1" s="4" t="s">
        <v>19</v>
      </c>
      <c r="E1" s="3" t="s">
        <v>2</v>
      </c>
      <c r="F1" s="3" t="s">
        <v>3</v>
      </c>
      <c r="G1" s="4" t="s">
        <v>4</v>
      </c>
      <c r="H1" s="3" t="s">
        <v>6</v>
      </c>
      <c r="I1" s="5" t="s">
        <v>5</v>
      </c>
      <c r="J1" s="5" t="s">
        <v>72</v>
      </c>
      <c r="K1" s="3" t="s">
        <v>7</v>
      </c>
      <c r="L1" s="3" t="s">
        <v>8</v>
      </c>
      <c r="M1" s="6" t="s">
        <v>12</v>
      </c>
      <c r="N1" s="8" t="s">
        <v>25</v>
      </c>
      <c r="O1" s="7" t="s">
        <v>242</v>
      </c>
      <c r="P1" s="34" t="s">
        <v>251</v>
      </c>
      <c r="Q1" s="34" t="s">
        <v>252</v>
      </c>
    </row>
    <row r="2" spans="1:17" x14ac:dyDescent="0.2">
      <c r="A2" s="9">
        <v>129</v>
      </c>
      <c r="B2" s="46">
        <v>0.25</v>
      </c>
      <c r="C2" s="11" t="s">
        <v>494</v>
      </c>
      <c r="D2" s="12" t="s">
        <v>495</v>
      </c>
      <c r="E2" s="11">
        <v>26504</v>
      </c>
      <c r="F2" s="11">
        <v>19.3</v>
      </c>
      <c r="G2" s="13" t="s">
        <v>98</v>
      </c>
      <c r="H2" s="11">
        <v>6066</v>
      </c>
      <c r="I2" s="14">
        <f>H2/60/60</f>
        <v>1.6849999999999998</v>
      </c>
      <c r="J2" s="49"/>
      <c r="K2" s="11">
        <v>-0.13</v>
      </c>
      <c r="L2" s="11">
        <v>0.27</v>
      </c>
      <c r="M2" s="15" t="s">
        <v>353</v>
      </c>
      <c r="N2" s="8" t="s">
        <v>496</v>
      </c>
      <c r="O2" s="84"/>
      <c r="P2" s="84"/>
      <c r="Q2" s="84"/>
    </row>
    <row r="3" spans="1:17" x14ac:dyDescent="0.2">
      <c r="A3" s="24">
        <v>130</v>
      </c>
      <c r="B3" s="46">
        <v>0.375</v>
      </c>
      <c r="C3" s="11" t="s">
        <v>497</v>
      </c>
      <c r="D3" s="12" t="s">
        <v>498</v>
      </c>
      <c r="E3" s="11">
        <v>25631</v>
      </c>
      <c r="F3" s="11">
        <v>22.1</v>
      </c>
      <c r="G3" s="13" t="s">
        <v>408</v>
      </c>
      <c r="H3" s="11">
        <v>5518</v>
      </c>
      <c r="I3" s="14">
        <f t="shared" ref="I3:I33" si="0">H3/60/60</f>
        <v>1.5327777777777778</v>
      </c>
      <c r="J3" s="14"/>
      <c r="K3" s="11">
        <v>-0.26</v>
      </c>
      <c r="L3" s="11">
        <v>0.23</v>
      </c>
      <c r="M3" s="15" t="s">
        <v>353</v>
      </c>
      <c r="N3" s="8" t="s">
        <v>496</v>
      </c>
      <c r="O3" s="84"/>
      <c r="P3" s="84"/>
      <c r="Q3" s="84"/>
    </row>
    <row r="4" spans="1:17" x14ac:dyDescent="0.2">
      <c r="A4" s="24">
        <v>131</v>
      </c>
      <c r="B4" s="46">
        <v>0.5</v>
      </c>
      <c r="C4" s="40" t="s">
        <v>499</v>
      </c>
      <c r="D4" s="47" t="s">
        <v>500</v>
      </c>
      <c r="E4" s="40">
        <v>26580</v>
      </c>
      <c r="F4" s="40">
        <v>19</v>
      </c>
      <c r="G4" s="48" t="s">
        <v>501</v>
      </c>
      <c r="H4" s="11">
        <v>5680</v>
      </c>
      <c r="I4" s="14">
        <f t="shared" si="0"/>
        <v>1.5777777777777779</v>
      </c>
      <c r="K4" s="40">
        <v>-0.2</v>
      </c>
      <c r="L4" s="40">
        <v>0.09</v>
      </c>
      <c r="M4" s="15" t="s">
        <v>353</v>
      </c>
      <c r="N4" s="8" t="s">
        <v>496</v>
      </c>
      <c r="O4" s="84"/>
      <c r="P4" s="84"/>
      <c r="Q4" s="84"/>
    </row>
    <row r="5" spans="1:17" x14ac:dyDescent="0.2">
      <c r="A5" s="24">
        <v>132</v>
      </c>
      <c r="B5" s="46">
        <v>0.625</v>
      </c>
      <c r="C5" s="40" t="s">
        <v>502</v>
      </c>
      <c r="D5" s="47" t="s">
        <v>503</v>
      </c>
      <c r="E5" s="40">
        <v>26646</v>
      </c>
      <c r="F5" s="40">
        <v>18.8</v>
      </c>
      <c r="G5" s="48" t="s">
        <v>422</v>
      </c>
      <c r="H5" s="11">
        <v>5242</v>
      </c>
      <c r="I5" s="14">
        <f t="shared" si="0"/>
        <v>1.4561111111111109</v>
      </c>
      <c r="J5" s="49">
        <f>5870/60/60</f>
        <v>1.6305555555555555</v>
      </c>
      <c r="K5" s="40">
        <v>-0.18</v>
      </c>
      <c r="L5" s="40">
        <v>0.17</v>
      </c>
      <c r="M5" s="15" t="s">
        <v>353</v>
      </c>
      <c r="N5" s="8" t="s">
        <v>504</v>
      </c>
      <c r="O5" s="84"/>
      <c r="P5" s="84"/>
      <c r="Q5" s="84"/>
    </row>
    <row r="6" spans="1:17" x14ac:dyDescent="0.2">
      <c r="A6" s="24">
        <v>133</v>
      </c>
      <c r="B6" s="46">
        <v>0.75</v>
      </c>
      <c r="C6" s="7" t="s">
        <v>506</v>
      </c>
      <c r="D6" s="47" t="s">
        <v>507</v>
      </c>
      <c r="E6" s="40">
        <v>4982</v>
      </c>
      <c r="F6" s="40">
        <v>561</v>
      </c>
      <c r="G6" s="48" t="s">
        <v>288</v>
      </c>
      <c r="H6" s="11">
        <v>852</v>
      </c>
      <c r="I6" s="14">
        <f t="shared" si="0"/>
        <v>0.23666666666666666</v>
      </c>
      <c r="J6" s="49">
        <f>1026/60/60</f>
        <v>0.28500000000000003</v>
      </c>
      <c r="K6" s="40">
        <v>-0.09</v>
      </c>
      <c r="L6" s="40">
        <v>7.0000000000000007E-2</v>
      </c>
      <c r="M6" s="15" t="s">
        <v>353</v>
      </c>
      <c r="N6" s="17" t="s">
        <v>505</v>
      </c>
      <c r="O6" s="84" t="s">
        <v>508</v>
      </c>
      <c r="P6" s="84"/>
      <c r="Q6" s="84"/>
    </row>
    <row r="7" spans="1:17" x14ac:dyDescent="0.2">
      <c r="A7" s="24">
        <v>134</v>
      </c>
      <c r="B7" s="46">
        <v>0.875</v>
      </c>
      <c r="C7" s="40" t="s">
        <v>509</v>
      </c>
      <c r="D7" s="47" t="s">
        <v>510</v>
      </c>
      <c r="E7" s="40">
        <v>27176</v>
      </c>
      <c r="F7" s="40">
        <v>17.3</v>
      </c>
      <c r="G7" s="48" t="s">
        <v>469</v>
      </c>
      <c r="H7" s="11">
        <v>5804</v>
      </c>
      <c r="I7" s="14">
        <f t="shared" si="0"/>
        <v>1.6122222222222222</v>
      </c>
      <c r="J7" s="49">
        <f>6442/60/60</f>
        <v>1.7894444444444444</v>
      </c>
      <c r="K7" s="40">
        <v>-0.17</v>
      </c>
      <c r="L7" s="40">
        <v>0.6</v>
      </c>
      <c r="M7" s="15" t="s">
        <v>353</v>
      </c>
      <c r="N7" s="17" t="s">
        <v>505</v>
      </c>
      <c r="O7" s="84"/>
      <c r="P7" s="84"/>
      <c r="Q7" s="84"/>
    </row>
    <row r="8" spans="1:17" x14ac:dyDescent="0.2">
      <c r="A8" s="24">
        <v>135</v>
      </c>
      <c r="B8" s="46">
        <v>0</v>
      </c>
      <c r="C8" s="40" t="s">
        <v>511</v>
      </c>
      <c r="D8" s="47" t="s">
        <v>512</v>
      </c>
      <c r="E8" s="40">
        <v>28469</v>
      </c>
      <c r="F8" s="40">
        <v>14.1</v>
      </c>
      <c r="G8" s="48" t="s">
        <v>98</v>
      </c>
      <c r="H8" s="11">
        <v>6468</v>
      </c>
      <c r="I8" s="14">
        <f t="shared" si="0"/>
        <v>1.7966666666666666</v>
      </c>
      <c r="J8" s="49">
        <f>7136/60/60</f>
        <v>1.9822222222222223</v>
      </c>
      <c r="K8" s="40">
        <v>-0.12</v>
      </c>
      <c r="L8" s="40">
        <v>0.2</v>
      </c>
      <c r="M8" s="15" t="s">
        <v>353</v>
      </c>
      <c r="N8" s="17" t="s">
        <v>505</v>
      </c>
      <c r="Q8" s="84"/>
    </row>
    <row r="9" spans="1:17" x14ac:dyDescent="0.2">
      <c r="A9" s="24">
        <v>136</v>
      </c>
      <c r="B9" s="46">
        <v>0.125</v>
      </c>
      <c r="C9" s="40" t="s">
        <v>513</v>
      </c>
      <c r="D9" s="47" t="s">
        <v>514</v>
      </c>
      <c r="E9" s="40">
        <v>14500</v>
      </c>
      <c r="F9" s="40">
        <v>144.9</v>
      </c>
      <c r="G9" s="48" t="s">
        <v>439</v>
      </c>
      <c r="H9" s="11">
        <v>2530</v>
      </c>
      <c r="I9" s="14">
        <f t="shared" si="0"/>
        <v>0.70277777777777772</v>
      </c>
      <c r="J9" s="49">
        <f>2930/60/60</f>
        <v>0.81388888888888888</v>
      </c>
      <c r="K9" s="40">
        <v>-0.17</v>
      </c>
      <c r="L9" s="40">
        <v>0.12</v>
      </c>
      <c r="M9" s="15" t="s">
        <v>353</v>
      </c>
      <c r="N9" s="17" t="s">
        <v>515</v>
      </c>
    </row>
    <row r="10" spans="1:17" x14ac:dyDescent="0.2">
      <c r="A10" s="24">
        <v>137</v>
      </c>
      <c r="B10" s="46">
        <v>0.25</v>
      </c>
      <c r="C10" s="40" t="s">
        <v>516</v>
      </c>
      <c r="D10" s="47" t="s">
        <v>517</v>
      </c>
      <c r="E10" s="40">
        <v>27119</v>
      </c>
      <c r="F10" s="40">
        <v>17.600000000000001</v>
      </c>
      <c r="G10" s="48" t="s">
        <v>98</v>
      </c>
      <c r="H10" s="11">
        <v>6130</v>
      </c>
      <c r="I10" s="14">
        <f t="shared" si="0"/>
        <v>1.7027777777777779</v>
      </c>
      <c r="J10" s="49"/>
      <c r="K10" s="40">
        <v>-0.12</v>
      </c>
      <c r="L10" s="40">
        <v>0.14000000000000001</v>
      </c>
      <c r="M10" s="50" t="s">
        <v>353</v>
      </c>
      <c r="N10" s="17" t="s">
        <v>518</v>
      </c>
    </row>
    <row r="11" spans="1:17" x14ac:dyDescent="0.2">
      <c r="A11" s="24">
        <v>138</v>
      </c>
      <c r="B11" s="46">
        <v>0.375</v>
      </c>
      <c r="C11" s="40" t="s">
        <v>519</v>
      </c>
      <c r="D11" s="47" t="s">
        <v>520</v>
      </c>
      <c r="E11" s="40">
        <v>27634</v>
      </c>
      <c r="F11" s="40">
        <v>16.2</v>
      </c>
      <c r="G11" s="48" t="s">
        <v>408</v>
      </c>
      <c r="H11" s="11">
        <v>6072</v>
      </c>
      <c r="I11" s="14">
        <f t="shared" si="0"/>
        <v>1.6866666666666668</v>
      </c>
      <c r="J11" s="49"/>
      <c r="K11" s="40">
        <v>-0.11</v>
      </c>
      <c r="L11" s="40">
        <v>-0.12</v>
      </c>
      <c r="M11" s="50" t="s">
        <v>353</v>
      </c>
      <c r="N11" s="17" t="s">
        <v>518</v>
      </c>
    </row>
    <row r="12" spans="1:17" x14ac:dyDescent="0.2">
      <c r="A12" s="24">
        <v>139</v>
      </c>
      <c r="B12" s="46">
        <v>0.5</v>
      </c>
      <c r="C12" s="40" t="s">
        <v>521</v>
      </c>
      <c r="D12" s="47" t="s">
        <v>522</v>
      </c>
      <c r="E12" s="40">
        <v>26278</v>
      </c>
      <c r="F12" s="40">
        <v>19.8</v>
      </c>
      <c r="G12" s="48" t="s">
        <v>525</v>
      </c>
      <c r="H12" s="11">
        <v>5296</v>
      </c>
      <c r="I12" s="14">
        <f t="shared" si="0"/>
        <v>1.471111111111111</v>
      </c>
      <c r="J12" s="49">
        <f>5296/60/60</f>
        <v>1.471111111111111</v>
      </c>
      <c r="K12" s="40">
        <v>-0.13</v>
      </c>
      <c r="L12" s="40">
        <v>0.16</v>
      </c>
      <c r="M12" s="50" t="s">
        <v>353</v>
      </c>
      <c r="N12" s="17" t="s">
        <v>523</v>
      </c>
    </row>
    <row r="13" spans="1:17" x14ac:dyDescent="0.2">
      <c r="A13" s="24">
        <v>140</v>
      </c>
      <c r="B13" s="46">
        <v>0.625</v>
      </c>
      <c r="C13" s="40" t="s">
        <v>526</v>
      </c>
      <c r="D13" s="47" t="s">
        <v>527</v>
      </c>
      <c r="E13" s="40">
        <v>22399</v>
      </c>
      <c r="F13" s="40">
        <v>37</v>
      </c>
      <c r="G13" s="48" t="s">
        <v>335</v>
      </c>
      <c r="H13" s="11">
        <v>4078</v>
      </c>
      <c r="I13" s="14">
        <f t="shared" si="0"/>
        <v>1.1327777777777779</v>
      </c>
      <c r="J13" s="49">
        <f>4940/60/60</f>
        <v>1.3722222222222222</v>
      </c>
      <c r="K13" s="40">
        <v>-0.14000000000000001</v>
      </c>
      <c r="L13" s="40">
        <v>0.36</v>
      </c>
      <c r="M13" s="50" t="s">
        <v>353</v>
      </c>
      <c r="N13" s="17" t="s">
        <v>524</v>
      </c>
      <c r="O13" s="7" t="s">
        <v>528</v>
      </c>
    </row>
    <row r="14" spans="1:17" x14ac:dyDescent="0.2">
      <c r="A14" s="24">
        <v>141</v>
      </c>
      <c r="B14" s="46">
        <v>0.75</v>
      </c>
      <c r="C14" s="40" t="s">
        <v>535</v>
      </c>
      <c r="D14" s="47" t="s">
        <v>527</v>
      </c>
      <c r="E14" s="40">
        <v>26531</v>
      </c>
      <c r="F14" s="40">
        <v>19.3</v>
      </c>
      <c r="G14" s="48" t="s">
        <v>408</v>
      </c>
      <c r="H14" s="11">
        <v>5770</v>
      </c>
      <c r="I14" s="14">
        <f t="shared" si="0"/>
        <v>1.6027777777777779</v>
      </c>
      <c r="J14" s="49">
        <f>6092/60/60</f>
        <v>1.6922222222222223</v>
      </c>
      <c r="K14" s="40">
        <v>-0.12</v>
      </c>
      <c r="L14" s="40">
        <v>-0.1</v>
      </c>
      <c r="M14" s="50" t="s">
        <v>353</v>
      </c>
      <c r="N14" s="17" t="s">
        <v>524</v>
      </c>
    </row>
    <row r="15" spans="1:17" x14ac:dyDescent="0.2">
      <c r="A15" s="24">
        <v>142</v>
      </c>
      <c r="B15" s="46">
        <v>0.875</v>
      </c>
      <c r="C15" s="40" t="s">
        <v>536</v>
      </c>
      <c r="D15" s="47" t="s">
        <v>537</v>
      </c>
      <c r="E15" s="40">
        <v>26066</v>
      </c>
      <c r="F15" s="40">
        <v>20.6</v>
      </c>
      <c r="G15" s="48" t="s">
        <v>27</v>
      </c>
      <c r="H15" s="11">
        <v>5144</v>
      </c>
      <c r="I15" s="14">
        <f t="shared" si="0"/>
        <v>1.4288888888888889</v>
      </c>
      <c r="J15" s="49">
        <f>5784/60/60</f>
        <v>1.6066666666666667</v>
      </c>
      <c r="K15" s="40">
        <v>-0.12</v>
      </c>
      <c r="L15" s="40">
        <v>0.13</v>
      </c>
      <c r="M15" s="50" t="s">
        <v>353</v>
      </c>
      <c r="N15" s="17" t="s">
        <v>529</v>
      </c>
    </row>
    <row r="16" spans="1:17" x14ac:dyDescent="0.2">
      <c r="A16" s="24">
        <v>143</v>
      </c>
      <c r="B16" s="46">
        <v>0</v>
      </c>
      <c r="C16" s="40" t="s">
        <v>538</v>
      </c>
      <c r="D16" s="47" t="s">
        <v>539</v>
      </c>
      <c r="E16" s="40">
        <v>26288</v>
      </c>
      <c r="F16" s="40">
        <v>19.8</v>
      </c>
      <c r="G16" s="48" t="s">
        <v>477</v>
      </c>
      <c r="H16" s="11">
        <v>5366</v>
      </c>
      <c r="I16" s="14">
        <f t="shared" si="0"/>
        <v>1.4905555555555556</v>
      </c>
      <c r="J16" s="49">
        <f>6014/60/60</f>
        <v>1.6705555555555556</v>
      </c>
      <c r="K16" s="40">
        <v>-0.13</v>
      </c>
      <c r="L16" s="40">
        <v>-0.18</v>
      </c>
      <c r="M16" s="50" t="s">
        <v>353</v>
      </c>
      <c r="N16" s="17" t="s">
        <v>529</v>
      </c>
    </row>
    <row r="17" spans="1:15" x14ac:dyDescent="0.2">
      <c r="A17" s="24">
        <v>144</v>
      </c>
      <c r="B17" s="46">
        <v>0.125</v>
      </c>
      <c r="C17" s="40" t="s">
        <v>540</v>
      </c>
      <c r="D17" s="47" t="s">
        <v>541</v>
      </c>
      <c r="E17" s="40">
        <v>25785</v>
      </c>
      <c r="F17" s="40">
        <v>21.5</v>
      </c>
      <c r="G17" s="48" t="s">
        <v>308</v>
      </c>
      <c r="H17" s="11">
        <v>5308</v>
      </c>
      <c r="I17" s="14">
        <f t="shared" si="0"/>
        <v>1.4744444444444444</v>
      </c>
      <c r="J17" s="49">
        <f>5972/60/60</f>
        <v>1.6588888888888889</v>
      </c>
      <c r="K17" s="40">
        <v>-0.14000000000000001</v>
      </c>
      <c r="L17" s="40">
        <v>0.05</v>
      </c>
      <c r="M17" s="50" t="s">
        <v>353</v>
      </c>
      <c r="N17" s="17" t="s">
        <v>529</v>
      </c>
    </row>
    <row r="18" spans="1:15" x14ac:dyDescent="0.2">
      <c r="A18" s="24">
        <v>145</v>
      </c>
      <c r="B18" s="46">
        <v>0.25</v>
      </c>
      <c r="C18" s="40" t="s">
        <v>543</v>
      </c>
      <c r="D18" s="47" t="s">
        <v>544</v>
      </c>
      <c r="E18" s="40">
        <v>26015</v>
      </c>
      <c r="F18" s="40">
        <v>20.8</v>
      </c>
      <c r="G18" s="48" t="s">
        <v>469</v>
      </c>
      <c r="H18" s="11">
        <v>5482</v>
      </c>
      <c r="I18" s="14">
        <f t="shared" si="0"/>
        <v>1.5227777777777776</v>
      </c>
      <c r="J18" s="49">
        <v>1.7105555555555556</v>
      </c>
      <c r="K18" s="40">
        <v>-0.08</v>
      </c>
      <c r="L18" s="40">
        <v>0.03</v>
      </c>
      <c r="M18" s="50" t="s">
        <v>353</v>
      </c>
      <c r="N18" s="17" t="s">
        <v>542</v>
      </c>
    </row>
    <row r="19" spans="1:15" x14ac:dyDescent="0.2">
      <c r="A19" s="24">
        <v>146</v>
      </c>
      <c r="B19" s="46">
        <v>0.375</v>
      </c>
      <c r="C19" s="40" t="s">
        <v>545</v>
      </c>
      <c r="D19" s="47" t="s">
        <v>546</v>
      </c>
      <c r="E19" s="40">
        <v>26578</v>
      </c>
      <c r="F19" s="40">
        <v>19.100000000000001</v>
      </c>
      <c r="G19" s="48" t="s">
        <v>288</v>
      </c>
      <c r="H19" s="11">
        <v>4774</v>
      </c>
      <c r="I19" s="14">
        <f t="shared" si="0"/>
        <v>1.326111111111111</v>
      </c>
      <c r="J19" s="33">
        <v>1.5</v>
      </c>
      <c r="K19" s="40">
        <v>-0.14000000000000001</v>
      </c>
      <c r="L19" s="40">
        <v>0.16</v>
      </c>
      <c r="M19" s="50" t="s">
        <v>353</v>
      </c>
      <c r="N19" s="17" t="s">
        <v>530</v>
      </c>
    </row>
    <row r="20" spans="1:15" x14ac:dyDescent="0.2">
      <c r="A20" s="24">
        <v>147</v>
      </c>
      <c r="B20" s="46">
        <v>0.5</v>
      </c>
      <c r="C20" s="40" t="s">
        <v>547</v>
      </c>
      <c r="D20" s="47" t="s">
        <v>548</v>
      </c>
      <c r="E20" s="40">
        <v>24653</v>
      </c>
      <c r="F20" s="40">
        <v>25.7</v>
      </c>
      <c r="G20" s="48" t="s">
        <v>549</v>
      </c>
      <c r="H20" s="11">
        <v>5072</v>
      </c>
      <c r="I20" s="14">
        <f t="shared" si="0"/>
        <v>1.4088888888888889</v>
      </c>
      <c r="J20" s="49">
        <f>5812/60/60</f>
        <v>1.6144444444444443</v>
      </c>
      <c r="K20" s="40">
        <v>-0.15</v>
      </c>
      <c r="L20" s="40">
        <v>-0.16</v>
      </c>
      <c r="M20" s="50" t="s">
        <v>353</v>
      </c>
      <c r="N20" s="17" t="s">
        <v>530</v>
      </c>
    </row>
    <row r="21" spans="1:15" x14ac:dyDescent="0.2">
      <c r="A21" s="9">
        <v>148</v>
      </c>
      <c r="B21" s="46">
        <v>0.625</v>
      </c>
      <c r="C21" s="40" t="s">
        <v>550</v>
      </c>
      <c r="D21" s="47" t="s">
        <v>551</v>
      </c>
      <c r="E21" s="40">
        <v>22915</v>
      </c>
      <c r="F21" s="40">
        <v>34.1</v>
      </c>
      <c r="G21" s="48" t="s">
        <v>27</v>
      </c>
      <c r="H21" s="11">
        <v>4568</v>
      </c>
      <c r="I21" s="14">
        <f t="shared" si="0"/>
        <v>1.268888888888889</v>
      </c>
      <c r="J21" s="49">
        <f>5330/60/60</f>
        <v>1.4805555555555554</v>
      </c>
      <c r="K21" s="11">
        <v>-0.22</v>
      </c>
      <c r="L21" s="11">
        <v>-0.15</v>
      </c>
      <c r="M21" s="50" t="s">
        <v>353</v>
      </c>
      <c r="N21" s="17" t="s">
        <v>530</v>
      </c>
    </row>
    <row r="22" spans="1:15" x14ac:dyDescent="0.2">
      <c r="A22" s="9">
        <v>149</v>
      </c>
      <c r="B22" s="46">
        <v>0.75</v>
      </c>
      <c r="C22" s="11" t="s">
        <v>552</v>
      </c>
      <c r="D22" s="12" t="s">
        <v>553</v>
      </c>
      <c r="E22" s="11">
        <v>26134</v>
      </c>
      <c r="F22" s="11">
        <v>20.399999999999999</v>
      </c>
      <c r="G22" s="13" t="s">
        <v>308</v>
      </c>
      <c r="H22" s="11">
        <v>5432</v>
      </c>
      <c r="I22" s="14">
        <f t="shared" si="0"/>
        <v>1.5088888888888889</v>
      </c>
      <c r="J22" s="49">
        <f>6114/60/60</f>
        <v>1.6983333333333335</v>
      </c>
      <c r="K22" s="11">
        <v>0.01</v>
      </c>
      <c r="L22" s="11">
        <v>0.08</v>
      </c>
      <c r="M22" s="50" t="s">
        <v>353</v>
      </c>
      <c r="N22" s="17" t="s">
        <v>554</v>
      </c>
    </row>
    <row r="23" spans="1:15" x14ac:dyDescent="0.2">
      <c r="A23" s="9">
        <v>150</v>
      </c>
      <c r="B23" s="46">
        <v>0.875</v>
      </c>
      <c r="C23" s="40" t="s">
        <v>555</v>
      </c>
      <c r="D23" s="47" t="s">
        <v>556</v>
      </c>
      <c r="E23" s="11">
        <v>27013</v>
      </c>
      <c r="F23" s="11">
        <v>17.8</v>
      </c>
      <c r="G23" s="13" t="s">
        <v>439</v>
      </c>
      <c r="H23" s="11">
        <v>4668</v>
      </c>
      <c r="I23" s="14">
        <f t="shared" si="0"/>
        <v>1.2966666666666666</v>
      </c>
      <c r="J23" s="49">
        <f>5386/60/60</f>
        <v>1.4961111111111112</v>
      </c>
      <c r="K23" s="11">
        <v>-0.21</v>
      </c>
      <c r="L23" s="11">
        <v>0.04</v>
      </c>
      <c r="M23" s="15" t="s">
        <v>353</v>
      </c>
      <c r="N23" s="17" t="s">
        <v>531</v>
      </c>
    </row>
    <row r="24" spans="1:15" x14ac:dyDescent="0.2">
      <c r="A24" s="9">
        <v>151</v>
      </c>
      <c r="B24" s="46">
        <v>0</v>
      </c>
      <c r="C24" s="11" t="s">
        <v>557</v>
      </c>
      <c r="D24" s="12" t="s">
        <v>558</v>
      </c>
      <c r="E24" s="11">
        <v>27054</v>
      </c>
      <c r="F24" s="11">
        <v>17.600000000000001</v>
      </c>
      <c r="G24" s="13" t="s">
        <v>27</v>
      </c>
      <c r="H24" s="11">
        <v>5452</v>
      </c>
      <c r="I24" s="14">
        <f t="shared" si="0"/>
        <v>1.5144444444444443</v>
      </c>
      <c r="J24" s="49">
        <f>5980/60/60</f>
        <v>1.6611111111111112</v>
      </c>
      <c r="K24" s="11">
        <v>-0.17</v>
      </c>
      <c r="L24" s="11">
        <v>0.05</v>
      </c>
      <c r="M24" s="15" t="s">
        <v>353</v>
      </c>
      <c r="N24" s="17" t="s">
        <v>531</v>
      </c>
    </row>
    <row r="25" spans="1:15" x14ac:dyDescent="0.2">
      <c r="A25" s="24">
        <v>152</v>
      </c>
      <c r="B25" s="46">
        <v>0.125</v>
      </c>
      <c r="C25" s="11" t="s">
        <v>559</v>
      </c>
      <c r="D25" s="12" t="s">
        <v>560</v>
      </c>
      <c r="E25" s="11">
        <v>27380</v>
      </c>
      <c r="F25" s="11">
        <v>16.7</v>
      </c>
      <c r="G25" s="13" t="s">
        <v>413</v>
      </c>
      <c r="H25" s="11">
        <v>6069</v>
      </c>
      <c r="I25" s="14">
        <f t="shared" si="0"/>
        <v>1.6858333333333335</v>
      </c>
      <c r="J25" s="49"/>
      <c r="K25" s="11">
        <v>-0.16</v>
      </c>
      <c r="L25" s="11">
        <v>-0.03</v>
      </c>
      <c r="M25" s="15" t="s">
        <v>353</v>
      </c>
      <c r="N25" s="17" t="s">
        <v>531</v>
      </c>
    </row>
    <row r="26" spans="1:15" x14ac:dyDescent="0.2">
      <c r="A26" s="24">
        <v>152</v>
      </c>
      <c r="B26" s="46">
        <v>0.25</v>
      </c>
      <c r="C26" s="11" t="s">
        <v>562</v>
      </c>
      <c r="D26" s="12" t="s">
        <v>563</v>
      </c>
      <c r="E26" s="11">
        <v>17340</v>
      </c>
      <c r="F26" s="11">
        <v>88.7</v>
      </c>
      <c r="G26" s="13" t="s">
        <v>228</v>
      </c>
      <c r="H26" s="11">
        <v>3204</v>
      </c>
      <c r="I26" s="14">
        <f t="shared" si="0"/>
        <v>0.89</v>
      </c>
      <c r="J26" s="49">
        <f>4054/60/60</f>
        <v>1.1261111111111111</v>
      </c>
      <c r="K26" s="11">
        <v>-0.21</v>
      </c>
      <c r="L26" s="11">
        <v>0.33</v>
      </c>
      <c r="M26" s="15" t="s">
        <v>353</v>
      </c>
      <c r="N26" s="17" t="s">
        <v>561</v>
      </c>
    </row>
    <row r="27" spans="1:15" x14ac:dyDescent="0.2">
      <c r="A27" s="24">
        <v>154</v>
      </c>
      <c r="B27" s="46">
        <v>0.375</v>
      </c>
      <c r="C27" s="11" t="s">
        <v>564</v>
      </c>
      <c r="D27" s="12" t="s">
        <v>565</v>
      </c>
      <c r="E27" s="11">
        <v>27847</v>
      </c>
      <c r="F27" s="11">
        <v>15.7</v>
      </c>
      <c r="G27" s="13" t="s">
        <v>566</v>
      </c>
      <c r="H27" s="11">
        <v>7590</v>
      </c>
      <c r="I27" s="14">
        <f t="shared" si="0"/>
        <v>2.1083333333333334</v>
      </c>
      <c r="J27" s="49">
        <f>8314/60/60</f>
        <v>2.3094444444444444</v>
      </c>
      <c r="K27" s="11">
        <v>-0.16</v>
      </c>
      <c r="L27" s="11">
        <v>0.04</v>
      </c>
      <c r="M27" s="15" t="s">
        <v>353</v>
      </c>
      <c r="N27" s="17" t="s">
        <v>532</v>
      </c>
    </row>
    <row r="28" spans="1:15" x14ac:dyDescent="0.2">
      <c r="A28" s="24">
        <v>155</v>
      </c>
      <c r="B28" s="46">
        <v>0.5</v>
      </c>
      <c r="C28" s="11" t="s">
        <v>567</v>
      </c>
      <c r="D28" s="12" t="s">
        <v>568</v>
      </c>
      <c r="E28" s="11">
        <v>26393</v>
      </c>
      <c r="F28" s="11">
        <v>19.600000000000001</v>
      </c>
      <c r="G28" s="13" t="s">
        <v>569</v>
      </c>
      <c r="H28" s="11">
        <v>5894</v>
      </c>
      <c r="I28" s="14">
        <f t="shared" si="0"/>
        <v>1.6372222222222221</v>
      </c>
      <c r="J28" s="14">
        <f>6550/60/60</f>
        <v>1.8194444444444444</v>
      </c>
      <c r="K28" s="11">
        <v>-0.16</v>
      </c>
      <c r="L28" s="11">
        <v>0.03</v>
      </c>
      <c r="M28" s="15" t="s">
        <v>353</v>
      </c>
      <c r="N28" s="17" t="s">
        <v>532</v>
      </c>
    </row>
    <row r="29" spans="1:15" x14ac:dyDescent="0.2">
      <c r="A29" s="24">
        <v>156</v>
      </c>
      <c r="B29" s="46">
        <v>0.625</v>
      </c>
      <c r="C29" s="11" t="s">
        <v>570</v>
      </c>
      <c r="D29" s="12" t="s">
        <v>571</v>
      </c>
      <c r="E29" s="11">
        <v>26424</v>
      </c>
      <c r="F29" s="11">
        <v>19.5</v>
      </c>
      <c r="G29" s="13" t="s">
        <v>439</v>
      </c>
      <c r="H29" s="11">
        <v>4644</v>
      </c>
      <c r="I29" s="14">
        <f t="shared" si="0"/>
        <v>1.29</v>
      </c>
      <c r="J29" s="14">
        <f>5294/60/60</f>
        <v>1.4705555555555556</v>
      </c>
      <c r="K29" s="11">
        <v>-0.12</v>
      </c>
      <c r="L29" s="11">
        <v>0.03</v>
      </c>
      <c r="M29" s="15" t="s">
        <v>353</v>
      </c>
      <c r="N29" s="17" t="s">
        <v>532</v>
      </c>
    </row>
    <row r="30" spans="1:15" x14ac:dyDescent="0.2">
      <c r="A30" s="24">
        <v>157</v>
      </c>
      <c r="B30" s="46">
        <v>0.75</v>
      </c>
      <c r="C30" s="11" t="s">
        <v>572</v>
      </c>
      <c r="D30" s="12" t="s">
        <v>573</v>
      </c>
      <c r="E30" s="11">
        <v>5158</v>
      </c>
      <c r="F30" s="11">
        <v>549.6</v>
      </c>
      <c r="G30" s="13" t="s">
        <v>477</v>
      </c>
      <c r="H30" s="11">
        <v>1054</v>
      </c>
      <c r="I30" s="14">
        <f t="shared" si="0"/>
        <v>0.29277777777777775</v>
      </c>
      <c r="J30" s="14">
        <f>5294/60/60</f>
        <v>1.4705555555555556</v>
      </c>
      <c r="K30" s="11"/>
      <c r="L30" s="11"/>
      <c r="M30" s="15" t="s">
        <v>353</v>
      </c>
      <c r="N30" s="17" t="s">
        <v>533</v>
      </c>
      <c r="O30" s="7" t="s">
        <v>575</v>
      </c>
    </row>
    <row r="31" spans="1:15" x14ac:dyDescent="0.2">
      <c r="A31" s="24">
        <v>158</v>
      </c>
      <c r="B31" s="46">
        <v>0.875</v>
      </c>
      <c r="C31" s="11" t="s">
        <v>574</v>
      </c>
      <c r="D31" s="12" t="s">
        <v>576</v>
      </c>
      <c r="E31" s="11">
        <v>26655</v>
      </c>
      <c r="F31" s="11">
        <v>18.8</v>
      </c>
      <c r="G31" s="13" t="s">
        <v>284</v>
      </c>
      <c r="H31" s="11">
        <v>5128</v>
      </c>
      <c r="I31" s="14">
        <f t="shared" si="0"/>
        <v>1.4244444444444444</v>
      </c>
      <c r="J31" s="14">
        <v>1.6</v>
      </c>
      <c r="K31" s="11">
        <v>-0.2</v>
      </c>
      <c r="L31" s="11">
        <v>0.05</v>
      </c>
      <c r="M31" s="15" t="s">
        <v>353</v>
      </c>
      <c r="N31" s="17" t="s">
        <v>533</v>
      </c>
    </row>
    <row r="32" spans="1:15" x14ac:dyDescent="0.2">
      <c r="A32" s="24">
        <v>159</v>
      </c>
      <c r="B32" s="46">
        <v>0</v>
      </c>
      <c r="C32" s="11" t="s">
        <v>577</v>
      </c>
      <c r="D32" s="12" t="s">
        <v>578</v>
      </c>
      <c r="E32" s="11">
        <v>26440</v>
      </c>
      <c r="F32" s="11">
        <v>19.399999999999999</v>
      </c>
      <c r="G32" s="13" t="s">
        <v>408</v>
      </c>
      <c r="H32" s="11">
        <v>5710</v>
      </c>
      <c r="I32" s="14">
        <f t="shared" si="0"/>
        <v>1.5861111111111112</v>
      </c>
      <c r="J32" s="49">
        <v>1.77</v>
      </c>
      <c r="K32" s="11">
        <v>-0.18</v>
      </c>
      <c r="L32" s="11">
        <v>-0.15</v>
      </c>
      <c r="M32" s="15" t="s">
        <v>353</v>
      </c>
      <c r="N32" s="17" t="s">
        <v>533</v>
      </c>
    </row>
    <row r="33" spans="1:14" ht="13.5" thickBot="1" x14ac:dyDescent="0.25">
      <c r="A33" s="25">
        <v>160</v>
      </c>
      <c r="B33" s="46">
        <v>0.125</v>
      </c>
      <c r="C33" s="27" t="s">
        <v>579</v>
      </c>
      <c r="D33" s="28" t="s">
        <v>580</v>
      </c>
      <c r="E33" s="27">
        <v>26993</v>
      </c>
      <c r="F33" s="27">
        <v>17.899999999999999</v>
      </c>
      <c r="G33" s="29" t="s">
        <v>228</v>
      </c>
      <c r="H33" s="11">
        <v>4996</v>
      </c>
      <c r="I33" s="14">
        <f t="shared" si="0"/>
        <v>1.3877777777777778</v>
      </c>
      <c r="J33" s="49">
        <v>1.55</v>
      </c>
      <c r="K33" s="27">
        <v>-0.17</v>
      </c>
      <c r="L33" s="27">
        <v>-0.14000000000000001</v>
      </c>
      <c r="M33" s="31" t="s">
        <v>353</v>
      </c>
      <c r="N33" s="17" t="s">
        <v>581</v>
      </c>
    </row>
    <row r="35" spans="1:14" x14ac:dyDescent="0.2">
      <c r="A35" s="34" t="s">
        <v>74</v>
      </c>
      <c r="B35" s="35"/>
      <c r="C35" s="34"/>
      <c r="D35" s="36"/>
      <c r="E35" s="37">
        <f>AVERAGE(E2:E34)</f>
        <v>24361.875</v>
      </c>
      <c r="F35" s="39">
        <f>AVERAGE(F2:F34)</f>
        <v>59.678125000000001</v>
      </c>
      <c r="G35" s="36"/>
      <c r="H35" s="34"/>
      <c r="I35" s="38">
        <f>AVERAGE(I2:I34)</f>
        <v>1.3980989583333334</v>
      </c>
      <c r="J35" s="38">
        <f>AVERAGE(J2:J34)</f>
        <v>1.5480769230769234</v>
      </c>
    </row>
    <row r="36" spans="1:14" x14ac:dyDescent="0.2">
      <c r="A36" s="34" t="s">
        <v>75</v>
      </c>
      <c r="B36" s="35"/>
      <c r="C36" s="34"/>
      <c r="D36" s="36"/>
      <c r="E36" s="34">
        <f>MAX(E2:E35)</f>
        <v>28469</v>
      </c>
      <c r="F36" s="34">
        <f>MAX(F2:F35)</f>
        <v>561</v>
      </c>
      <c r="G36" s="36"/>
      <c r="H36" s="34"/>
      <c r="I36" s="38">
        <f>MAX(I2:I35)</f>
        <v>2.1083333333333334</v>
      </c>
      <c r="J36" s="38">
        <f>MAX(J2:J35)</f>
        <v>2.3094444444444444</v>
      </c>
    </row>
    <row r="37" spans="1:14" x14ac:dyDescent="0.2">
      <c r="A37" s="34" t="s">
        <v>76</v>
      </c>
      <c r="B37" s="35"/>
      <c r="C37" s="34"/>
      <c r="D37" s="36"/>
      <c r="E37" s="34">
        <f>MIN(E2:E36)</f>
        <v>4982</v>
      </c>
      <c r="F37" s="34">
        <f>MIN(F2:F36)</f>
        <v>14.1</v>
      </c>
      <c r="G37" s="36"/>
      <c r="H37" s="34"/>
      <c r="I37" s="38">
        <f>MIN(I2:I36)</f>
        <v>0.23666666666666666</v>
      </c>
      <c r="J37" s="38">
        <f>MIN(J2:J36)</f>
        <v>0.28500000000000003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opLeftCell="A10" workbookViewId="0">
      <selection activeCell="A2" sqref="A2:J35"/>
    </sheetView>
  </sheetViews>
  <sheetFormatPr defaultRowHeight="15" x14ac:dyDescent="0.25"/>
  <cols>
    <col min="4" max="4" width="15.28515625" customWidth="1"/>
    <col min="7" max="7" width="12.7109375" customWidth="1"/>
    <col min="8" max="10" width="13" customWidth="1"/>
    <col min="13" max="13" width="10.5703125" customWidth="1"/>
  </cols>
  <sheetData>
    <row r="1" spans="1:15" ht="15.75" thickBot="1" x14ac:dyDescent="0.3">
      <c r="A1" s="1" t="s">
        <v>0</v>
      </c>
      <c r="B1" s="2" t="s">
        <v>10</v>
      </c>
      <c r="C1" s="3" t="s">
        <v>1</v>
      </c>
      <c r="D1" s="4" t="s">
        <v>19</v>
      </c>
      <c r="E1" s="3" t="s">
        <v>2</v>
      </c>
      <c r="F1" s="3" t="s">
        <v>3</v>
      </c>
      <c r="G1" s="4" t="s">
        <v>4</v>
      </c>
      <c r="H1" s="3" t="s">
        <v>6</v>
      </c>
      <c r="I1" s="5" t="s">
        <v>5</v>
      </c>
      <c r="J1" s="5" t="s">
        <v>72</v>
      </c>
      <c r="K1" s="3" t="s">
        <v>7</v>
      </c>
      <c r="L1" s="3" t="s">
        <v>8</v>
      </c>
      <c r="M1" s="6" t="s">
        <v>12</v>
      </c>
      <c r="N1" s="8" t="s">
        <v>25</v>
      </c>
    </row>
    <row r="2" spans="1:15" x14ac:dyDescent="0.25">
      <c r="A2" s="94">
        <v>161</v>
      </c>
      <c r="B2" s="95">
        <v>0.25</v>
      </c>
      <c r="C2" s="96" t="s">
        <v>582</v>
      </c>
      <c r="D2" s="97" t="s">
        <v>583</v>
      </c>
      <c r="E2" s="96">
        <v>26441</v>
      </c>
      <c r="F2" s="96">
        <v>19.7</v>
      </c>
      <c r="G2" s="98" t="s">
        <v>27</v>
      </c>
      <c r="H2" s="99">
        <v>5266</v>
      </c>
      <c r="I2" s="96">
        <v>1.46</v>
      </c>
      <c r="J2" s="100">
        <v>1.64</v>
      </c>
      <c r="K2" s="96">
        <v>-0.22</v>
      </c>
      <c r="L2" s="96">
        <v>0.26</v>
      </c>
      <c r="M2" s="101" t="s">
        <v>353</v>
      </c>
      <c r="N2" s="8" t="s">
        <v>534</v>
      </c>
    </row>
    <row r="3" spans="1:15" x14ac:dyDescent="0.25">
      <c r="A3" s="18">
        <v>162</v>
      </c>
      <c r="B3" s="19">
        <v>0.375</v>
      </c>
      <c r="C3" s="20" t="s">
        <v>590</v>
      </c>
      <c r="D3" s="21"/>
      <c r="E3" s="20"/>
      <c r="F3" s="20"/>
      <c r="G3" s="87"/>
      <c r="H3" s="102"/>
      <c r="I3" s="20"/>
      <c r="J3" s="22"/>
      <c r="K3" s="20"/>
      <c r="L3" s="20"/>
      <c r="M3" s="23" t="s">
        <v>191</v>
      </c>
      <c r="N3" s="8" t="s">
        <v>534</v>
      </c>
    </row>
    <row r="4" spans="1:15" x14ac:dyDescent="0.25">
      <c r="A4" s="24">
        <v>162</v>
      </c>
      <c r="B4" s="46">
        <v>0.375</v>
      </c>
      <c r="C4" s="11" t="s">
        <v>584</v>
      </c>
      <c r="D4" s="12" t="s">
        <v>585</v>
      </c>
      <c r="E4" s="11">
        <v>25483</v>
      </c>
      <c r="F4" s="11">
        <v>22.7</v>
      </c>
      <c r="G4" s="13" t="s">
        <v>60</v>
      </c>
      <c r="H4" s="11">
        <v>4212</v>
      </c>
      <c r="I4" s="14">
        <v>1.17</v>
      </c>
      <c r="J4" s="14">
        <v>1.35</v>
      </c>
      <c r="K4" s="11">
        <v>-0.12</v>
      </c>
      <c r="L4" s="11">
        <v>0.37</v>
      </c>
      <c r="M4" s="15" t="s">
        <v>353</v>
      </c>
      <c r="N4" s="8" t="s">
        <v>586</v>
      </c>
      <c r="O4" t="s">
        <v>597</v>
      </c>
    </row>
    <row r="5" spans="1:15" x14ac:dyDescent="0.25">
      <c r="A5" s="18">
        <v>163</v>
      </c>
      <c r="B5" s="19">
        <v>0.5</v>
      </c>
      <c r="C5" s="20" t="s">
        <v>587</v>
      </c>
      <c r="D5" s="21"/>
      <c r="E5" s="20"/>
      <c r="F5" s="20"/>
      <c r="G5" s="87"/>
      <c r="H5" s="20"/>
      <c r="I5" s="22"/>
      <c r="J5" s="90"/>
      <c r="K5" s="20"/>
      <c r="L5" s="20"/>
      <c r="M5" s="23" t="s">
        <v>191</v>
      </c>
      <c r="N5" s="8" t="s">
        <v>592</v>
      </c>
    </row>
    <row r="6" spans="1:15" x14ac:dyDescent="0.25">
      <c r="A6" s="24">
        <v>163</v>
      </c>
      <c r="B6" s="46">
        <v>0.5</v>
      </c>
      <c r="C6" s="40" t="s">
        <v>591</v>
      </c>
      <c r="D6" s="47" t="s">
        <v>588</v>
      </c>
      <c r="E6" s="40">
        <v>27276</v>
      </c>
      <c r="F6" s="40">
        <v>17</v>
      </c>
      <c r="G6" s="48" t="s">
        <v>469</v>
      </c>
      <c r="H6" s="11">
        <v>5832</v>
      </c>
      <c r="I6" s="14">
        <f>H6/60/60</f>
        <v>1.62</v>
      </c>
      <c r="J6" s="14">
        <f>5862/60/60</f>
        <v>1.6283333333333334</v>
      </c>
      <c r="K6" s="40">
        <v>-0.16</v>
      </c>
      <c r="L6" s="40">
        <v>0.44</v>
      </c>
      <c r="M6" s="15" t="s">
        <v>353</v>
      </c>
      <c r="N6" s="8" t="s">
        <v>589</v>
      </c>
      <c r="O6" t="s">
        <v>598</v>
      </c>
    </row>
    <row r="7" spans="1:15" x14ac:dyDescent="0.25">
      <c r="A7" s="24">
        <v>164</v>
      </c>
      <c r="B7" s="46">
        <v>0.625</v>
      </c>
      <c r="C7" s="91" t="s">
        <v>599</v>
      </c>
      <c r="D7" s="47" t="s">
        <v>600</v>
      </c>
      <c r="E7" s="92">
        <v>26269</v>
      </c>
      <c r="F7" s="93">
        <v>20</v>
      </c>
      <c r="G7" s="93">
        <v>5</v>
      </c>
      <c r="H7" s="93">
        <v>5244</v>
      </c>
      <c r="I7" s="14">
        <f>H7/60/60</f>
        <v>1.4566666666666668</v>
      </c>
      <c r="J7" s="93"/>
      <c r="K7" s="93">
        <v>-0.26</v>
      </c>
      <c r="L7" s="93">
        <v>-0.02</v>
      </c>
      <c r="M7" s="103" t="s">
        <v>353</v>
      </c>
      <c r="N7" s="8" t="s">
        <v>593</v>
      </c>
    </row>
    <row r="8" spans="1:15" x14ac:dyDescent="0.25">
      <c r="A8" s="24">
        <v>165</v>
      </c>
      <c r="B8" s="46">
        <v>0.75</v>
      </c>
      <c r="C8" s="40" t="s">
        <v>594</v>
      </c>
      <c r="D8" s="47" t="s">
        <v>601</v>
      </c>
      <c r="E8" s="56">
        <v>25782</v>
      </c>
      <c r="F8" s="56">
        <v>21.7</v>
      </c>
      <c r="G8" s="56">
        <v>5.5</v>
      </c>
      <c r="H8" s="56">
        <v>4646</v>
      </c>
      <c r="I8" s="14">
        <f>H8/60/60</f>
        <v>1.2905555555555557</v>
      </c>
      <c r="J8" s="56"/>
      <c r="K8" s="40">
        <v>-0.16</v>
      </c>
      <c r="L8" s="40">
        <v>0.35</v>
      </c>
      <c r="M8" s="15" t="s">
        <v>353</v>
      </c>
      <c r="N8" s="8" t="s">
        <v>593</v>
      </c>
    </row>
    <row r="9" spans="1:15" x14ac:dyDescent="0.25">
      <c r="A9" s="24">
        <v>166</v>
      </c>
      <c r="B9" s="46">
        <v>0.875</v>
      </c>
      <c r="C9" s="84" t="s">
        <v>595</v>
      </c>
      <c r="D9" s="47" t="s">
        <v>596</v>
      </c>
      <c r="E9" s="40">
        <v>27879</v>
      </c>
      <c r="F9" s="40">
        <v>15.6</v>
      </c>
      <c r="G9" s="48" t="s">
        <v>308</v>
      </c>
      <c r="H9" s="11">
        <v>5740</v>
      </c>
      <c r="I9" s="14">
        <f t="shared" ref="I9:I34" si="0">H9/60/60</f>
        <v>1.5944444444444446</v>
      </c>
      <c r="J9" s="14">
        <f>5862/60/60</f>
        <v>1.6283333333333334</v>
      </c>
      <c r="K9" s="40">
        <v>-0.24</v>
      </c>
      <c r="L9" s="40">
        <v>0.09</v>
      </c>
      <c r="M9" s="15" t="s">
        <v>353</v>
      </c>
      <c r="N9" s="104" t="s">
        <v>593</v>
      </c>
    </row>
    <row r="10" spans="1:15" x14ac:dyDescent="0.25">
      <c r="A10" s="24">
        <v>167</v>
      </c>
      <c r="B10" s="46">
        <v>0</v>
      </c>
      <c r="C10" s="40" t="s">
        <v>603</v>
      </c>
      <c r="D10" s="47" t="s">
        <v>604</v>
      </c>
      <c r="E10" s="40">
        <v>27067</v>
      </c>
      <c r="F10" s="40">
        <v>17.7</v>
      </c>
      <c r="G10" s="48" t="s">
        <v>605</v>
      </c>
      <c r="H10" s="11">
        <v>5628</v>
      </c>
      <c r="I10" s="14">
        <f t="shared" si="0"/>
        <v>1.5633333333333332</v>
      </c>
      <c r="J10" s="14">
        <f>6258/60/60</f>
        <v>1.7383333333333333</v>
      </c>
      <c r="K10" s="40">
        <v>-0.11</v>
      </c>
      <c r="L10" s="40">
        <v>-0.11</v>
      </c>
      <c r="M10" s="15" t="s">
        <v>353</v>
      </c>
      <c r="N10" s="104" t="s">
        <v>602</v>
      </c>
    </row>
    <row r="11" spans="1:15" x14ac:dyDescent="0.25">
      <c r="A11" s="24">
        <v>168</v>
      </c>
      <c r="B11" s="46">
        <v>0.125</v>
      </c>
      <c r="C11" s="40" t="s">
        <v>606</v>
      </c>
      <c r="D11" s="47" t="s">
        <v>607</v>
      </c>
      <c r="E11" s="40">
        <v>27084</v>
      </c>
      <c r="F11" s="40">
        <v>17.600000000000001</v>
      </c>
      <c r="G11" s="48" t="s">
        <v>284</v>
      </c>
      <c r="H11" s="11">
        <v>5206</v>
      </c>
      <c r="I11" s="14">
        <f t="shared" si="0"/>
        <v>1.4461111111111111</v>
      </c>
      <c r="J11" s="14">
        <f>6876/60/60</f>
        <v>1.91</v>
      </c>
      <c r="K11" s="40">
        <v>-0.26</v>
      </c>
      <c r="L11" s="40">
        <v>-0.01</v>
      </c>
      <c r="M11" s="15" t="s">
        <v>353</v>
      </c>
      <c r="N11" s="104" t="s">
        <v>602</v>
      </c>
    </row>
    <row r="12" spans="1:15" x14ac:dyDescent="0.25">
      <c r="A12" s="24">
        <v>169</v>
      </c>
      <c r="B12" s="46">
        <v>0.25</v>
      </c>
      <c r="C12" s="40" t="s">
        <v>608</v>
      </c>
      <c r="D12" s="47" t="s">
        <v>609</v>
      </c>
      <c r="E12" s="40">
        <v>26648</v>
      </c>
      <c r="F12" s="40">
        <v>18.899999999999999</v>
      </c>
      <c r="G12" s="48" t="s">
        <v>413</v>
      </c>
      <c r="H12" s="11">
        <v>5862</v>
      </c>
      <c r="I12" s="14">
        <f t="shared" si="0"/>
        <v>1.6283333333333334</v>
      </c>
      <c r="J12" s="14">
        <v>1.93</v>
      </c>
      <c r="K12" s="40">
        <v>-0.22</v>
      </c>
      <c r="L12" s="40">
        <v>-0.01</v>
      </c>
      <c r="M12" s="50" t="s">
        <v>353</v>
      </c>
      <c r="N12" s="17" t="s">
        <v>602</v>
      </c>
    </row>
    <row r="13" spans="1:15" x14ac:dyDescent="0.25">
      <c r="A13" s="18">
        <v>170</v>
      </c>
      <c r="B13" s="19">
        <v>0.375</v>
      </c>
      <c r="C13" s="20" t="s">
        <v>610</v>
      </c>
      <c r="D13" s="21"/>
      <c r="E13" s="20"/>
      <c r="F13" s="20"/>
      <c r="G13" s="87"/>
      <c r="H13" s="20"/>
      <c r="I13" s="22"/>
      <c r="J13" s="22"/>
      <c r="K13" s="20"/>
      <c r="L13" s="20"/>
      <c r="M13" s="23" t="s">
        <v>191</v>
      </c>
      <c r="N13" s="17" t="s">
        <v>611</v>
      </c>
    </row>
    <row r="14" spans="1:15" x14ac:dyDescent="0.25">
      <c r="A14" s="24">
        <v>171</v>
      </c>
      <c r="B14" s="46">
        <v>0.5</v>
      </c>
      <c r="C14" s="40" t="s">
        <v>613</v>
      </c>
      <c r="D14" s="47" t="s">
        <v>615</v>
      </c>
      <c r="E14" s="40">
        <v>26174</v>
      </c>
      <c r="F14" s="40">
        <v>20.2</v>
      </c>
      <c r="G14" s="48" t="s">
        <v>284</v>
      </c>
      <c r="H14" s="11">
        <v>5042</v>
      </c>
      <c r="I14" s="14">
        <f t="shared" si="0"/>
        <v>1.4005555555555556</v>
      </c>
      <c r="J14" s="49"/>
      <c r="K14" s="40" t="s">
        <v>641</v>
      </c>
      <c r="L14" s="40"/>
      <c r="M14" s="50" t="s">
        <v>353</v>
      </c>
      <c r="N14" s="17" t="s">
        <v>612</v>
      </c>
    </row>
    <row r="15" spans="1:15" x14ac:dyDescent="0.25">
      <c r="A15" s="24">
        <v>172</v>
      </c>
      <c r="B15" s="46">
        <v>0.625</v>
      </c>
      <c r="C15" s="40" t="s">
        <v>614</v>
      </c>
      <c r="D15" s="47" t="s">
        <v>617</v>
      </c>
      <c r="E15" s="40">
        <v>26947</v>
      </c>
      <c r="F15" s="40">
        <v>18</v>
      </c>
      <c r="G15" s="48" t="s">
        <v>405</v>
      </c>
      <c r="H15" s="11">
        <v>5550</v>
      </c>
      <c r="I15" s="14">
        <f t="shared" si="0"/>
        <v>1.5416666666666667</v>
      </c>
      <c r="J15" s="14">
        <f>6172/60/60</f>
        <v>1.7144444444444444</v>
      </c>
      <c r="K15" s="40">
        <v>-0.03</v>
      </c>
      <c r="L15" s="40">
        <v>0.11</v>
      </c>
      <c r="M15" s="50" t="s">
        <v>353</v>
      </c>
      <c r="N15" s="17" t="s">
        <v>612</v>
      </c>
      <c r="O15" t="s">
        <v>616</v>
      </c>
    </row>
    <row r="16" spans="1:15" x14ac:dyDescent="0.25">
      <c r="A16" s="24">
        <v>173</v>
      </c>
      <c r="B16" s="46">
        <v>0.75</v>
      </c>
      <c r="C16" s="40" t="s">
        <v>619</v>
      </c>
      <c r="D16" s="47" t="s">
        <v>620</v>
      </c>
      <c r="E16" s="40">
        <v>25723</v>
      </c>
      <c r="F16" s="40">
        <v>21.8</v>
      </c>
      <c r="G16" s="48" t="s">
        <v>422</v>
      </c>
      <c r="H16" s="11">
        <v>5006</v>
      </c>
      <c r="I16" s="14">
        <f t="shared" si="0"/>
        <v>1.3905555555555555</v>
      </c>
      <c r="J16" s="14">
        <f>6420/60/60</f>
        <v>1.7833333333333334</v>
      </c>
      <c r="K16" s="40">
        <v>-0.47</v>
      </c>
      <c r="L16" s="40">
        <v>-0.13</v>
      </c>
      <c r="M16" s="50" t="s">
        <v>353</v>
      </c>
      <c r="N16" s="17" t="s">
        <v>618</v>
      </c>
    </row>
    <row r="17" spans="1:14" x14ac:dyDescent="0.25">
      <c r="A17" s="24">
        <v>174</v>
      </c>
      <c r="B17" s="46">
        <v>0.875</v>
      </c>
      <c r="C17" s="40" t="s">
        <v>61</v>
      </c>
      <c r="D17" s="47" t="s">
        <v>621</v>
      </c>
      <c r="E17" s="40">
        <v>27162</v>
      </c>
      <c r="F17" s="40">
        <v>17.399999999999999</v>
      </c>
      <c r="G17" s="48" t="s">
        <v>27</v>
      </c>
      <c r="H17" s="11">
        <v>5418</v>
      </c>
      <c r="I17" s="14">
        <f t="shared" si="0"/>
        <v>1.5049999999999999</v>
      </c>
      <c r="J17" s="14">
        <f>6054/60/60</f>
        <v>1.6816666666666669</v>
      </c>
      <c r="K17" s="40">
        <v>-0.16</v>
      </c>
      <c r="L17" s="40">
        <v>0</v>
      </c>
      <c r="M17" s="50" t="s">
        <v>353</v>
      </c>
      <c r="N17" s="17" t="s">
        <v>622</v>
      </c>
    </row>
    <row r="18" spans="1:14" x14ac:dyDescent="0.25">
      <c r="A18" s="24">
        <v>175</v>
      </c>
      <c r="B18" s="46">
        <v>0</v>
      </c>
      <c r="C18" s="40" t="s">
        <v>623</v>
      </c>
      <c r="D18" s="47" t="s">
        <v>624</v>
      </c>
      <c r="E18" s="40">
        <v>27192</v>
      </c>
      <c r="F18" s="40">
        <v>17.3</v>
      </c>
      <c r="G18" s="48" t="s">
        <v>477</v>
      </c>
      <c r="H18" s="11">
        <v>5542</v>
      </c>
      <c r="I18" s="14">
        <f t="shared" si="0"/>
        <v>1.5394444444444444</v>
      </c>
      <c r="J18" s="49">
        <v>1.71</v>
      </c>
      <c r="K18" s="40">
        <v>-0.1</v>
      </c>
      <c r="L18" s="40">
        <v>0</v>
      </c>
      <c r="M18" s="50" t="s">
        <v>353</v>
      </c>
      <c r="N18" s="17" t="s">
        <v>622</v>
      </c>
    </row>
    <row r="19" spans="1:14" x14ac:dyDescent="0.25">
      <c r="A19" s="24">
        <v>176</v>
      </c>
      <c r="B19" s="46">
        <v>0.125</v>
      </c>
      <c r="C19" s="40" t="s">
        <v>625</v>
      </c>
      <c r="D19" s="47" t="s">
        <v>626</v>
      </c>
      <c r="E19" s="40">
        <v>25635</v>
      </c>
      <c r="F19" s="40">
        <v>22</v>
      </c>
      <c r="G19" s="48" t="s">
        <v>422</v>
      </c>
      <c r="H19" s="11">
        <v>4988</v>
      </c>
      <c r="I19" s="14">
        <f t="shared" si="0"/>
        <v>1.3855555555555557</v>
      </c>
      <c r="J19" s="14">
        <f>5662/60/60</f>
        <v>1.5727777777777776</v>
      </c>
      <c r="K19" s="40">
        <v>-0.18</v>
      </c>
      <c r="L19" s="40">
        <v>0.09</v>
      </c>
      <c r="M19" s="50" t="s">
        <v>353</v>
      </c>
      <c r="N19" s="17" t="s">
        <v>627</v>
      </c>
    </row>
    <row r="20" spans="1:14" x14ac:dyDescent="0.25">
      <c r="A20" s="24">
        <v>177</v>
      </c>
      <c r="B20" s="46">
        <v>0.25</v>
      </c>
      <c r="C20" s="40" t="s">
        <v>629</v>
      </c>
      <c r="D20" s="47" t="s">
        <v>630</v>
      </c>
      <c r="E20" s="40">
        <v>26705</v>
      </c>
      <c r="F20" s="40">
        <v>18.8</v>
      </c>
      <c r="G20" s="48" t="s">
        <v>469</v>
      </c>
      <c r="H20" s="11">
        <v>5720</v>
      </c>
      <c r="I20" s="14">
        <f t="shared" si="0"/>
        <v>1.5888888888888888</v>
      </c>
      <c r="J20" s="49">
        <v>1.78</v>
      </c>
      <c r="K20" s="40">
        <v>-0.12</v>
      </c>
      <c r="L20" s="40">
        <v>7.0000000000000007E-2</v>
      </c>
      <c r="M20" s="50" t="s">
        <v>353</v>
      </c>
      <c r="N20" s="17" t="s">
        <v>628</v>
      </c>
    </row>
    <row r="21" spans="1:14" x14ac:dyDescent="0.25">
      <c r="A21" s="24">
        <v>178</v>
      </c>
      <c r="B21" s="46">
        <v>0.375</v>
      </c>
      <c r="C21" s="40" t="s">
        <v>631</v>
      </c>
      <c r="D21" s="47" t="s">
        <v>632</v>
      </c>
      <c r="E21" s="40">
        <v>26523</v>
      </c>
      <c r="F21" s="40">
        <v>19.3</v>
      </c>
      <c r="G21" s="48" t="s">
        <v>408</v>
      </c>
      <c r="H21" s="11">
        <v>5756</v>
      </c>
      <c r="I21" s="14">
        <f t="shared" si="0"/>
        <v>1.598888888888889</v>
      </c>
      <c r="J21" s="89">
        <v>1.9</v>
      </c>
      <c r="K21" s="40">
        <v>-0.13</v>
      </c>
      <c r="L21" s="40">
        <v>0.04</v>
      </c>
      <c r="M21" s="50" t="s">
        <v>353</v>
      </c>
      <c r="N21" s="17" t="s">
        <v>628</v>
      </c>
    </row>
    <row r="22" spans="1:14" x14ac:dyDescent="0.25">
      <c r="A22" s="24">
        <v>179</v>
      </c>
      <c r="B22" s="46">
        <v>0.5</v>
      </c>
      <c r="C22" s="40" t="s">
        <v>633</v>
      </c>
      <c r="D22" s="47" t="s">
        <v>634</v>
      </c>
      <c r="E22" s="40">
        <v>26407</v>
      </c>
      <c r="F22" s="40">
        <v>19.600000000000001</v>
      </c>
      <c r="G22" s="48" t="s">
        <v>422</v>
      </c>
      <c r="H22" s="11">
        <v>5188</v>
      </c>
      <c r="I22" s="14">
        <f t="shared" si="0"/>
        <v>1.4411111111111112</v>
      </c>
      <c r="J22" s="49">
        <f>6260/60/60</f>
        <v>1.7388888888888887</v>
      </c>
      <c r="K22" s="40">
        <v>-0.2</v>
      </c>
      <c r="L22" s="40">
        <v>0.18</v>
      </c>
      <c r="M22" s="50" t="s">
        <v>353</v>
      </c>
      <c r="N22" s="17" t="s">
        <v>628</v>
      </c>
    </row>
    <row r="23" spans="1:14" x14ac:dyDescent="0.25">
      <c r="A23" s="9">
        <v>180</v>
      </c>
      <c r="B23" s="46">
        <v>0.625</v>
      </c>
      <c r="C23" s="40" t="s">
        <v>636</v>
      </c>
      <c r="D23" s="47" t="s">
        <v>637</v>
      </c>
      <c r="E23" s="40">
        <v>25534</v>
      </c>
      <c r="F23" s="40">
        <v>22.4</v>
      </c>
      <c r="G23" s="48" t="s">
        <v>469</v>
      </c>
      <c r="H23" s="11">
        <v>5384</v>
      </c>
      <c r="I23" s="14">
        <f t="shared" si="0"/>
        <v>1.4955555555555555</v>
      </c>
      <c r="J23" s="49">
        <f>6054/60/60</f>
        <v>1.6816666666666669</v>
      </c>
      <c r="K23" s="11">
        <v>-0.14000000000000001</v>
      </c>
      <c r="L23" s="11">
        <v>0.02</v>
      </c>
      <c r="M23" s="50" t="s">
        <v>353</v>
      </c>
      <c r="N23" s="17" t="s">
        <v>635</v>
      </c>
    </row>
    <row r="24" spans="1:14" x14ac:dyDescent="0.25">
      <c r="A24" s="9">
        <v>181</v>
      </c>
      <c r="B24" s="46">
        <v>0.75</v>
      </c>
      <c r="C24" s="11" t="s">
        <v>638</v>
      </c>
      <c r="D24" s="12" t="s">
        <v>640</v>
      </c>
      <c r="E24" s="11">
        <v>26824</v>
      </c>
      <c r="F24" s="11">
        <v>18.5</v>
      </c>
      <c r="G24" s="13" t="s">
        <v>27</v>
      </c>
      <c r="H24" s="11">
        <v>5342</v>
      </c>
      <c r="I24" s="14">
        <f t="shared" si="0"/>
        <v>1.4838888888888888</v>
      </c>
      <c r="J24" s="49">
        <f>6254/60/60</f>
        <v>1.7372222222222222</v>
      </c>
      <c r="K24" s="11">
        <v>-0.15</v>
      </c>
      <c r="L24" s="11">
        <v>0</v>
      </c>
      <c r="M24" s="50" t="s">
        <v>353</v>
      </c>
      <c r="N24" s="17" t="s">
        <v>639</v>
      </c>
    </row>
    <row r="25" spans="1:14" x14ac:dyDescent="0.25">
      <c r="A25" s="9">
        <v>182</v>
      </c>
      <c r="B25" s="46">
        <v>0.875</v>
      </c>
      <c r="C25" s="40" t="s">
        <v>654</v>
      </c>
      <c r="D25" s="47" t="s">
        <v>655</v>
      </c>
      <c r="E25" s="11">
        <v>28063</v>
      </c>
      <c r="F25" s="11">
        <v>15.1</v>
      </c>
      <c r="G25" s="13" t="s">
        <v>408</v>
      </c>
      <c r="H25" s="11">
        <v>6148</v>
      </c>
      <c r="I25" s="14">
        <f t="shared" si="0"/>
        <v>1.7077777777777778</v>
      </c>
      <c r="J25" s="49">
        <f>6814/60/60</f>
        <v>1.8927777777777777</v>
      </c>
      <c r="K25" s="11">
        <v>-0.19</v>
      </c>
      <c r="L25" s="11">
        <v>-0.06</v>
      </c>
      <c r="M25" s="15" t="s">
        <v>353</v>
      </c>
      <c r="N25" s="17" t="s">
        <v>639</v>
      </c>
    </row>
    <row r="26" spans="1:14" x14ac:dyDescent="0.25">
      <c r="A26" s="9">
        <v>183</v>
      </c>
      <c r="B26" s="46">
        <v>0</v>
      </c>
      <c r="C26" s="11" t="s">
        <v>656</v>
      </c>
      <c r="D26" s="12" t="s">
        <v>658</v>
      </c>
      <c r="E26" s="11">
        <v>27255</v>
      </c>
      <c r="F26" s="11">
        <v>17.100000000000001</v>
      </c>
      <c r="G26" s="13" t="s">
        <v>408</v>
      </c>
      <c r="H26" s="11">
        <v>5934</v>
      </c>
      <c r="I26" s="14">
        <f t="shared" si="0"/>
        <v>1.6483333333333334</v>
      </c>
      <c r="J26" s="49">
        <f>6814/60/60</f>
        <v>1.8927777777777777</v>
      </c>
      <c r="K26" s="11">
        <v>-0.18</v>
      </c>
      <c r="L26" s="11">
        <v>0.02</v>
      </c>
      <c r="M26" s="15" t="s">
        <v>353</v>
      </c>
      <c r="N26" s="17" t="s">
        <v>657</v>
      </c>
    </row>
    <row r="27" spans="1:14" x14ac:dyDescent="0.25">
      <c r="A27" s="24">
        <v>184</v>
      </c>
      <c r="B27" s="46">
        <v>0.125</v>
      </c>
      <c r="C27" s="11" t="s">
        <v>398</v>
      </c>
      <c r="D27" s="12" t="s">
        <v>659</v>
      </c>
      <c r="E27" s="11">
        <v>24858</v>
      </c>
      <c r="F27" s="11">
        <v>26</v>
      </c>
      <c r="G27" s="13" t="s">
        <v>661</v>
      </c>
      <c r="H27" s="11">
        <v>4020</v>
      </c>
      <c r="I27" s="14">
        <f t="shared" si="0"/>
        <v>1.1166666666666667</v>
      </c>
      <c r="J27" s="49">
        <f>4634/60/60</f>
        <v>1.2872222222222223</v>
      </c>
      <c r="K27" s="11">
        <v>-0.2</v>
      </c>
      <c r="L27" s="11">
        <v>-0.02</v>
      </c>
      <c r="M27" s="15" t="s">
        <v>353</v>
      </c>
      <c r="N27" s="17" t="s">
        <v>660</v>
      </c>
    </row>
    <row r="28" spans="1:14" x14ac:dyDescent="0.25">
      <c r="A28" s="24">
        <v>185</v>
      </c>
      <c r="B28" s="46">
        <v>0.25</v>
      </c>
      <c r="C28" s="11" t="s">
        <v>662</v>
      </c>
      <c r="D28" s="12" t="s">
        <v>663</v>
      </c>
      <c r="E28" s="11">
        <v>26578</v>
      </c>
      <c r="F28" s="11">
        <v>19.100000000000001</v>
      </c>
      <c r="G28" s="13" t="s">
        <v>408</v>
      </c>
      <c r="H28" s="11">
        <v>5824</v>
      </c>
      <c r="I28" s="14">
        <f t="shared" si="0"/>
        <v>1.6177777777777778</v>
      </c>
      <c r="J28" s="49">
        <f>4634/60/60</f>
        <v>1.2872222222222223</v>
      </c>
      <c r="K28" s="11">
        <v>-0.18</v>
      </c>
      <c r="L28" s="11">
        <v>-0.22</v>
      </c>
      <c r="M28" s="15" t="s">
        <v>353</v>
      </c>
      <c r="N28" s="17" t="s">
        <v>660</v>
      </c>
    </row>
    <row r="29" spans="1:14" x14ac:dyDescent="0.25">
      <c r="A29" s="24">
        <v>186</v>
      </c>
      <c r="B29" s="46">
        <v>0.375</v>
      </c>
      <c r="C29" s="11" t="s">
        <v>664</v>
      </c>
      <c r="D29" s="12" t="s">
        <v>665</v>
      </c>
      <c r="E29" s="11">
        <v>27076</v>
      </c>
      <c r="F29" s="11">
        <v>17.7</v>
      </c>
      <c r="G29" s="13" t="s">
        <v>477</v>
      </c>
      <c r="H29" s="11">
        <v>5580</v>
      </c>
      <c r="I29" s="14">
        <f t="shared" si="0"/>
        <v>1.55</v>
      </c>
      <c r="J29" s="49">
        <v>1.74</v>
      </c>
      <c r="K29" s="11">
        <v>-0.26</v>
      </c>
      <c r="L29" s="11">
        <v>-0.16</v>
      </c>
      <c r="M29" s="15" t="s">
        <v>353</v>
      </c>
      <c r="N29" s="17" t="s">
        <v>660</v>
      </c>
    </row>
    <row r="30" spans="1:14" x14ac:dyDescent="0.25">
      <c r="A30" s="24">
        <v>187</v>
      </c>
      <c r="B30" s="46">
        <v>0.5</v>
      </c>
      <c r="C30" s="11" t="s">
        <v>666</v>
      </c>
      <c r="D30" s="12" t="s">
        <v>667</v>
      </c>
      <c r="E30" s="11">
        <v>25082</v>
      </c>
      <c r="F30" s="11">
        <v>24</v>
      </c>
      <c r="G30" s="13" t="s">
        <v>408</v>
      </c>
      <c r="H30" s="11">
        <v>5446</v>
      </c>
      <c r="I30" s="14">
        <f t="shared" si="0"/>
        <v>1.5127777777777778</v>
      </c>
      <c r="J30" s="14">
        <f>6108/60/60</f>
        <v>1.6966666666666665</v>
      </c>
      <c r="K30" s="11">
        <v>-0.22</v>
      </c>
      <c r="L30" s="11">
        <v>0.12</v>
      </c>
      <c r="M30" s="15" t="s">
        <v>353</v>
      </c>
      <c r="N30" s="17" t="s">
        <v>668</v>
      </c>
    </row>
    <row r="31" spans="1:14" x14ac:dyDescent="0.25">
      <c r="A31" s="24">
        <v>188</v>
      </c>
      <c r="B31" s="46">
        <v>0.625</v>
      </c>
      <c r="C31" s="11" t="s">
        <v>669</v>
      </c>
      <c r="D31" s="12" t="s">
        <v>671</v>
      </c>
      <c r="E31" s="11">
        <v>27717</v>
      </c>
      <c r="F31" s="11">
        <v>15.9</v>
      </c>
      <c r="G31" s="13" t="s">
        <v>477</v>
      </c>
      <c r="H31" s="11">
        <v>5672</v>
      </c>
      <c r="I31" s="14">
        <f t="shared" si="0"/>
        <v>1.5755555555555556</v>
      </c>
      <c r="J31" s="14">
        <f>6290/60/60</f>
        <v>1.7472222222222222</v>
      </c>
      <c r="K31" s="11">
        <v>-0.15</v>
      </c>
      <c r="L31" s="11">
        <v>-0.02</v>
      </c>
      <c r="M31" s="15" t="s">
        <v>353</v>
      </c>
      <c r="N31" s="17" t="s">
        <v>670</v>
      </c>
    </row>
    <row r="32" spans="1:14" x14ac:dyDescent="0.25">
      <c r="A32" s="24">
        <v>189</v>
      </c>
      <c r="B32" s="46">
        <v>0.75</v>
      </c>
      <c r="C32" s="11" t="s">
        <v>672</v>
      </c>
      <c r="D32" s="12" t="s">
        <v>673</v>
      </c>
      <c r="E32" s="11">
        <v>27467</v>
      </c>
      <c r="F32" s="11">
        <v>16.600000000000001</v>
      </c>
      <c r="G32" s="13" t="s">
        <v>27</v>
      </c>
      <c r="H32" s="11">
        <v>5422</v>
      </c>
      <c r="I32" s="14">
        <f t="shared" si="0"/>
        <v>1.506111111111111</v>
      </c>
      <c r="J32" s="14">
        <f>6124/60/60</f>
        <v>1.701111111111111</v>
      </c>
      <c r="K32" s="11">
        <v>-0.25</v>
      </c>
      <c r="L32" s="11">
        <v>0.03</v>
      </c>
      <c r="M32" s="15" t="s">
        <v>353</v>
      </c>
      <c r="N32" s="17" t="s">
        <v>670</v>
      </c>
    </row>
    <row r="33" spans="1:15" x14ac:dyDescent="0.25">
      <c r="A33" s="24">
        <v>190</v>
      </c>
      <c r="B33" s="46">
        <v>0.875</v>
      </c>
      <c r="C33" s="11" t="s">
        <v>674</v>
      </c>
      <c r="D33" s="12" t="s">
        <v>675</v>
      </c>
      <c r="E33" s="11">
        <v>26087</v>
      </c>
      <c r="F33" s="11">
        <v>20.5</v>
      </c>
      <c r="G33" s="13" t="s">
        <v>241</v>
      </c>
      <c r="H33" s="11">
        <v>4930</v>
      </c>
      <c r="I33" s="14">
        <f t="shared" si="0"/>
        <v>1.3694444444444445</v>
      </c>
      <c r="J33" s="14">
        <f>5616/60/60</f>
        <v>1.5599999999999998</v>
      </c>
      <c r="K33" s="11">
        <v>-0.15</v>
      </c>
      <c r="L33" s="11">
        <v>-0.11</v>
      </c>
      <c r="M33" s="15" t="s">
        <v>353</v>
      </c>
      <c r="N33" s="17" t="s">
        <v>670</v>
      </c>
    </row>
    <row r="34" spans="1:15" x14ac:dyDescent="0.25">
      <c r="A34" s="24">
        <v>191</v>
      </c>
      <c r="B34" s="46">
        <v>0</v>
      </c>
      <c r="C34" s="11" t="s">
        <v>677</v>
      </c>
      <c r="D34" s="12" t="s">
        <v>678</v>
      </c>
      <c r="E34" s="11">
        <v>27849</v>
      </c>
      <c r="F34" s="11">
        <v>15.6</v>
      </c>
      <c r="G34" s="13" t="s">
        <v>469</v>
      </c>
      <c r="H34" s="11">
        <v>5920</v>
      </c>
      <c r="I34" s="14">
        <f t="shared" si="0"/>
        <v>1.6444444444444446</v>
      </c>
      <c r="J34" s="14">
        <f>6550/60/60</f>
        <v>1.8194444444444444</v>
      </c>
      <c r="K34" s="11">
        <v>-0.26</v>
      </c>
      <c r="L34" s="11">
        <v>0.06</v>
      </c>
      <c r="M34" s="15" t="s">
        <v>353</v>
      </c>
      <c r="N34" s="17" t="s">
        <v>676</v>
      </c>
    </row>
    <row r="35" spans="1:15" ht="15.75" thickBot="1" x14ac:dyDescent="0.3">
      <c r="A35" s="129">
        <v>192</v>
      </c>
      <c r="B35" s="130">
        <v>0.25</v>
      </c>
      <c r="C35" s="131" t="s">
        <v>679</v>
      </c>
      <c r="D35" s="132"/>
      <c r="E35" s="131"/>
      <c r="F35" s="131"/>
      <c r="G35" s="133"/>
      <c r="H35" s="131"/>
      <c r="I35" s="134"/>
      <c r="J35" s="134">
        <f>6550/60/60</f>
        <v>1.8194444444444444</v>
      </c>
      <c r="K35" s="131"/>
      <c r="L35" s="131"/>
      <c r="M35" s="135" t="s">
        <v>353</v>
      </c>
      <c r="N35" s="17" t="s">
        <v>676</v>
      </c>
      <c r="O35" t="s">
        <v>680</v>
      </c>
    </row>
    <row r="36" spans="1:15" x14ac:dyDescent="0.25">
      <c r="A36" s="7"/>
      <c r="B36" s="32"/>
      <c r="C36" s="7"/>
      <c r="D36" s="17"/>
      <c r="E36" s="7"/>
      <c r="F36" s="7"/>
      <c r="G36" s="17"/>
      <c r="H36" s="7"/>
      <c r="I36" s="33"/>
      <c r="J36" s="33"/>
      <c r="K36" s="7"/>
      <c r="L36" s="7"/>
      <c r="M36" s="7"/>
      <c r="N36" s="17"/>
    </row>
    <row r="37" spans="1:15" x14ac:dyDescent="0.25">
      <c r="A37" s="34" t="s">
        <v>74</v>
      </c>
      <c r="B37" s="35"/>
      <c r="C37" s="34"/>
      <c r="D37" s="36"/>
      <c r="E37" s="37">
        <f>AVERAGE(E2:E36)</f>
        <v>26626.233333333334</v>
      </c>
      <c r="F37" s="39">
        <f>AVERAGE(F2:F36)</f>
        <v>19.126666666666672</v>
      </c>
      <c r="G37" s="36"/>
      <c r="H37" s="34"/>
      <c r="I37" s="38">
        <f>AVERAGE(I2:I36)</f>
        <v>1.4949814814814812</v>
      </c>
      <c r="J37" s="38">
        <f>AVERAGE(J2:J36)</f>
        <v>1.6988888888888884</v>
      </c>
      <c r="K37" s="7"/>
      <c r="L37" s="7"/>
      <c r="M37" s="7"/>
      <c r="N37" s="17"/>
    </row>
    <row r="38" spans="1:15" x14ac:dyDescent="0.25">
      <c r="A38" s="34" t="s">
        <v>75</v>
      </c>
      <c r="B38" s="35"/>
      <c r="C38" s="34"/>
      <c r="D38" s="36"/>
      <c r="E38" s="34">
        <f>MAX(E2:E37)</f>
        <v>28063</v>
      </c>
      <c r="F38" s="34">
        <f>MAX(F2:F37)</f>
        <v>26</v>
      </c>
      <c r="G38" s="36"/>
      <c r="H38" s="34"/>
      <c r="I38" s="38">
        <f>MAX(I2:I37)</f>
        <v>1.7077777777777778</v>
      </c>
      <c r="J38" s="38">
        <f>MAX(J2:J37)</f>
        <v>1.93</v>
      </c>
      <c r="K38" s="7"/>
      <c r="L38" s="7"/>
      <c r="M38" s="7"/>
      <c r="N38" s="17"/>
    </row>
    <row r="39" spans="1:15" x14ac:dyDescent="0.25">
      <c r="A39" s="34" t="s">
        <v>76</v>
      </c>
      <c r="B39" s="35"/>
      <c r="C39" s="34"/>
      <c r="D39" s="36"/>
      <c r="E39" s="34">
        <f>MIN(E2:E38)</f>
        <v>24858</v>
      </c>
      <c r="F39" s="34">
        <f>MIN(F2:F38)</f>
        <v>15.1</v>
      </c>
      <c r="G39" s="36"/>
      <c r="H39" s="34"/>
      <c r="I39" s="38">
        <f>MIN(I2:I38)</f>
        <v>1.1166666666666667</v>
      </c>
      <c r="J39" s="38">
        <f>MIN(J2:J38)</f>
        <v>1.2872222222222223</v>
      </c>
      <c r="K39" s="7"/>
      <c r="L39" s="7"/>
      <c r="M39" s="7"/>
      <c r="N39" s="17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O15" sqref="O15"/>
    </sheetView>
  </sheetViews>
  <sheetFormatPr defaultRowHeight="15" x14ac:dyDescent="0.25"/>
  <cols>
    <col min="1" max="1" width="9.140625" customWidth="1"/>
    <col min="2" max="2" width="7.42578125" customWidth="1"/>
    <col min="3" max="3" width="11.28515625" customWidth="1"/>
    <col min="4" max="4" width="16.7109375" bestFit="1" customWidth="1"/>
    <col min="7" max="7" width="11.5703125" customWidth="1"/>
    <col min="8" max="8" width="12.28515625" customWidth="1"/>
    <col min="9" max="9" width="12.5703125" style="182" customWidth="1"/>
    <col min="10" max="10" width="11.140625" customWidth="1"/>
    <col min="13" max="13" width="14.140625" customWidth="1"/>
  </cols>
  <sheetData>
    <row r="1" spans="1:16" x14ac:dyDescent="0.25">
      <c r="A1" s="143" t="s">
        <v>0</v>
      </c>
      <c r="B1" s="144" t="s">
        <v>10</v>
      </c>
      <c r="C1" s="145" t="s">
        <v>1</v>
      </c>
      <c r="D1" s="146" t="s">
        <v>19</v>
      </c>
      <c r="E1" s="145" t="s">
        <v>2</v>
      </c>
      <c r="F1" s="145" t="s">
        <v>3</v>
      </c>
      <c r="G1" s="146" t="s">
        <v>4</v>
      </c>
      <c r="H1" s="145" t="s">
        <v>6</v>
      </c>
      <c r="I1" s="147" t="s">
        <v>5</v>
      </c>
      <c r="J1" s="147" t="s">
        <v>72</v>
      </c>
      <c r="K1" s="145" t="s">
        <v>7</v>
      </c>
      <c r="L1" s="145" t="s">
        <v>8</v>
      </c>
      <c r="M1" s="148" t="s">
        <v>12</v>
      </c>
      <c r="N1" s="8" t="s">
        <v>25</v>
      </c>
    </row>
    <row r="2" spans="1:16" x14ac:dyDescent="0.25">
      <c r="A2" s="136">
        <v>193</v>
      </c>
      <c r="B2" s="137">
        <v>0.5</v>
      </c>
      <c r="C2" s="61" t="s">
        <v>681</v>
      </c>
      <c r="D2" s="138" t="s">
        <v>682</v>
      </c>
      <c r="E2" s="139">
        <v>25686</v>
      </c>
      <c r="F2" s="139">
        <v>21.8</v>
      </c>
      <c r="G2" s="140" t="s">
        <v>228</v>
      </c>
      <c r="H2" s="139">
        <v>4768</v>
      </c>
      <c r="I2" s="141">
        <f t="shared" ref="I2:I20" si="0">H2/60/60</f>
        <v>1.3244444444444445</v>
      </c>
      <c r="J2" s="141">
        <f>5478/60/60</f>
        <v>1.5216666666666667</v>
      </c>
      <c r="K2" s="139">
        <v>-0.13</v>
      </c>
      <c r="L2" s="139">
        <v>-0.04</v>
      </c>
      <c r="M2" s="142" t="s">
        <v>353</v>
      </c>
      <c r="N2" s="153" t="s">
        <v>683</v>
      </c>
    </row>
    <row r="3" spans="1:16" x14ac:dyDescent="0.25">
      <c r="A3" s="125">
        <v>194</v>
      </c>
      <c r="B3" s="106">
        <v>0.75</v>
      </c>
      <c r="C3" s="56" t="s">
        <v>684</v>
      </c>
      <c r="D3" s="149" t="s">
        <v>685</v>
      </c>
      <c r="E3" s="56">
        <v>27626</v>
      </c>
      <c r="F3" s="56">
        <v>16.100000000000001</v>
      </c>
      <c r="G3" s="56">
        <v>5</v>
      </c>
      <c r="H3" s="56">
        <v>5362</v>
      </c>
      <c r="I3" s="141">
        <f t="shared" si="0"/>
        <v>1.4894444444444443</v>
      </c>
      <c r="J3" s="151">
        <f>6186/60/60</f>
        <v>1.7183333333333333</v>
      </c>
      <c r="K3" s="56">
        <v>-0.1</v>
      </c>
      <c r="L3" s="56">
        <v>-0.17</v>
      </c>
      <c r="M3" s="57" t="s">
        <v>353</v>
      </c>
      <c r="N3" s="153">
        <v>58</v>
      </c>
    </row>
    <row r="4" spans="1:16" x14ac:dyDescent="0.25">
      <c r="A4" s="125">
        <v>195</v>
      </c>
      <c r="B4" s="106">
        <v>0</v>
      </c>
      <c r="C4" s="149" t="s">
        <v>686</v>
      </c>
      <c r="D4" s="149" t="s">
        <v>687</v>
      </c>
      <c r="E4" s="56">
        <v>24882</v>
      </c>
      <c r="F4" s="56">
        <v>24.7</v>
      </c>
      <c r="G4" s="56">
        <v>4.7</v>
      </c>
      <c r="H4" s="56">
        <v>5302</v>
      </c>
      <c r="I4" s="141">
        <f t="shared" si="0"/>
        <v>1.4727777777777777</v>
      </c>
      <c r="J4" s="151">
        <v>1.65</v>
      </c>
      <c r="K4" s="56">
        <v>-0.32</v>
      </c>
      <c r="L4" s="56">
        <v>-0.02</v>
      </c>
      <c r="M4" s="57" t="s">
        <v>353</v>
      </c>
      <c r="N4" s="153">
        <v>58</v>
      </c>
    </row>
    <row r="5" spans="1:16" x14ac:dyDescent="0.25">
      <c r="A5" s="154">
        <v>196</v>
      </c>
      <c r="B5" s="155">
        <v>0.25</v>
      </c>
      <c r="C5" s="156" t="s">
        <v>688</v>
      </c>
      <c r="D5" s="156"/>
      <c r="E5" s="157"/>
      <c r="F5" s="157"/>
      <c r="G5" s="157"/>
      <c r="H5" s="157"/>
      <c r="I5" s="158"/>
      <c r="J5" s="158"/>
      <c r="K5" s="157"/>
      <c r="L5" s="157"/>
      <c r="M5" s="159" t="s">
        <v>353</v>
      </c>
      <c r="N5" s="153">
        <v>58</v>
      </c>
      <c r="O5" t="s">
        <v>689</v>
      </c>
    </row>
    <row r="6" spans="1:16" x14ac:dyDescent="0.25">
      <c r="A6" s="125">
        <v>197</v>
      </c>
      <c r="B6" s="106">
        <v>0.5</v>
      </c>
      <c r="C6" s="149" t="s">
        <v>690</v>
      </c>
      <c r="D6" s="149" t="s">
        <v>691</v>
      </c>
      <c r="E6" s="56">
        <v>27022</v>
      </c>
      <c r="F6" s="56">
        <v>17.5</v>
      </c>
      <c r="G6" s="56">
        <v>4.9000000000000004</v>
      </c>
      <c r="H6" s="56">
        <v>5552</v>
      </c>
      <c r="I6" s="141">
        <f t="shared" si="0"/>
        <v>1.5422222222222222</v>
      </c>
      <c r="J6" s="151">
        <f>6748/60/60</f>
        <v>1.8744444444444446</v>
      </c>
      <c r="K6" s="56">
        <v>-0.18</v>
      </c>
      <c r="L6" s="56">
        <v>-0.05</v>
      </c>
      <c r="M6" s="57" t="s">
        <v>353</v>
      </c>
      <c r="N6" s="153" t="s">
        <v>692</v>
      </c>
    </row>
    <row r="7" spans="1:16" x14ac:dyDescent="0.25">
      <c r="A7" s="125">
        <v>198</v>
      </c>
      <c r="B7" s="106">
        <v>0.75</v>
      </c>
      <c r="C7" s="149" t="s">
        <v>693</v>
      </c>
      <c r="D7" s="149" t="s">
        <v>694</v>
      </c>
      <c r="E7" s="56">
        <v>27431</v>
      </c>
      <c r="F7" s="56">
        <v>16.600000000000001</v>
      </c>
      <c r="G7" s="56">
        <v>4.2</v>
      </c>
      <c r="H7" s="56">
        <v>6564</v>
      </c>
      <c r="I7" s="151">
        <f t="shared" si="0"/>
        <v>1.8233333333333335</v>
      </c>
      <c r="J7" s="151">
        <f>7152/60/60</f>
        <v>1.9866666666666668</v>
      </c>
      <c r="K7" s="56">
        <v>-0.16</v>
      </c>
      <c r="L7" s="56">
        <v>-0.15</v>
      </c>
      <c r="M7" s="57" t="s">
        <v>353</v>
      </c>
      <c r="N7" s="153">
        <v>59</v>
      </c>
    </row>
    <row r="8" spans="1:16" x14ac:dyDescent="0.25">
      <c r="A8" s="125">
        <v>199</v>
      </c>
      <c r="B8" s="106">
        <v>0</v>
      </c>
      <c r="C8" s="149" t="s">
        <v>695</v>
      </c>
      <c r="D8" s="149" t="s">
        <v>696</v>
      </c>
      <c r="E8" s="56">
        <v>26547</v>
      </c>
      <c r="F8" s="56">
        <v>19</v>
      </c>
      <c r="G8" s="56">
        <v>5</v>
      </c>
      <c r="H8" s="56">
        <v>5286</v>
      </c>
      <c r="I8" s="151">
        <f t="shared" si="0"/>
        <v>1.4683333333333333</v>
      </c>
      <c r="J8" s="151">
        <f>5852/60/60</f>
        <v>1.6255555555555554</v>
      </c>
      <c r="K8" s="56">
        <v>-1.7</v>
      </c>
      <c r="L8" s="56">
        <v>-0.06</v>
      </c>
      <c r="M8" s="57" t="s">
        <v>353</v>
      </c>
      <c r="N8" s="153">
        <v>59</v>
      </c>
    </row>
    <row r="9" spans="1:16" x14ac:dyDescent="0.25">
      <c r="A9" s="154">
        <v>200</v>
      </c>
      <c r="B9" s="155">
        <v>0.25</v>
      </c>
      <c r="C9" s="156" t="s">
        <v>698</v>
      </c>
      <c r="D9" s="156"/>
      <c r="E9" s="157"/>
      <c r="F9" s="157"/>
      <c r="G9" s="157"/>
      <c r="H9" s="157"/>
      <c r="I9" s="158"/>
      <c r="J9" s="158">
        <f>5852/60/60</f>
        <v>1.6255555555555554</v>
      </c>
      <c r="K9" s="157"/>
      <c r="L9" s="157"/>
      <c r="M9" s="159" t="s">
        <v>353</v>
      </c>
      <c r="N9" s="153">
        <v>59</v>
      </c>
      <c r="O9" t="s">
        <v>699</v>
      </c>
    </row>
    <row r="10" spans="1:16" x14ac:dyDescent="0.25">
      <c r="A10" s="125">
        <v>201</v>
      </c>
      <c r="B10" s="106">
        <v>0.5</v>
      </c>
      <c r="C10" s="149" t="s">
        <v>700</v>
      </c>
      <c r="D10" s="149" t="s">
        <v>701</v>
      </c>
      <c r="E10" s="56">
        <v>26289</v>
      </c>
      <c r="F10" s="56">
        <v>19.8</v>
      </c>
      <c r="G10" s="56">
        <v>5.4</v>
      </c>
      <c r="H10" s="56">
        <v>4880</v>
      </c>
      <c r="I10" s="151">
        <f t="shared" si="0"/>
        <v>1.3555555555555554</v>
      </c>
      <c r="J10" s="151">
        <f>5544/60/60</f>
        <v>1.54</v>
      </c>
      <c r="K10" s="56">
        <v>-0.18</v>
      </c>
      <c r="L10" s="56">
        <v>-0.26</v>
      </c>
      <c r="M10" s="57" t="s">
        <v>353</v>
      </c>
      <c r="N10" s="153" t="s">
        <v>697</v>
      </c>
    </row>
    <row r="11" spans="1:16" x14ac:dyDescent="0.25">
      <c r="A11" s="125">
        <v>202</v>
      </c>
      <c r="B11" s="106">
        <v>0.75</v>
      </c>
      <c r="C11" s="149" t="s">
        <v>702</v>
      </c>
      <c r="D11" s="149" t="s">
        <v>703</v>
      </c>
      <c r="E11" s="56">
        <v>25365</v>
      </c>
      <c r="F11" s="56">
        <v>23.1</v>
      </c>
      <c r="G11" s="56">
        <v>5</v>
      </c>
      <c r="H11" s="56">
        <v>5064</v>
      </c>
      <c r="I11" s="151">
        <f t="shared" si="0"/>
        <v>1.4066666666666667</v>
      </c>
      <c r="J11" s="151">
        <f>5698/60/60</f>
        <v>1.5827777777777778</v>
      </c>
      <c r="K11" s="56">
        <v>-7.0000000000000007E-2</v>
      </c>
      <c r="L11" s="56">
        <v>-0.4</v>
      </c>
      <c r="M11" s="57" t="s">
        <v>353</v>
      </c>
      <c r="N11" s="153">
        <v>60</v>
      </c>
    </row>
    <row r="12" spans="1:16" x14ac:dyDescent="0.25">
      <c r="A12" s="125">
        <v>203</v>
      </c>
      <c r="B12" s="106">
        <v>0</v>
      </c>
      <c r="C12" s="149" t="s">
        <v>704</v>
      </c>
      <c r="D12" s="149" t="s">
        <v>705</v>
      </c>
      <c r="E12" s="56">
        <v>24525</v>
      </c>
      <c r="F12" s="56">
        <v>26.2</v>
      </c>
      <c r="G12" s="56">
        <v>4.4000000000000004</v>
      </c>
      <c r="H12" s="56">
        <v>5552</v>
      </c>
      <c r="I12" s="151">
        <f t="shared" si="0"/>
        <v>1.5422222222222222</v>
      </c>
      <c r="J12" s="151">
        <f>6544/60/60</f>
        <v>1.8177777777777777</v>
      </c>
      <c r="K12" s="56">
        <v>-0.16</v>
      </c>
      <c r="L12" s="56">
        <v>0.23</v>
      </c>
      <c r="M12" s="57" t="s">
        <v>353</v>
      </c>
      <c r="N12" s="153">
        <v>60</v>
      </c>
      <c r="P12" s="160"/>
    </row>
    <row r="13" spans="1:16" x14ac:dyDescent="0.25">
      <c r="A13" s="125">
        <v>204</v>
      </c>
      <c r="B13" s="106">
        <v>0.25</v>
      </c>
      <c r="C13" s="149" t="s">
        <v>707</v>
      </c>
      <c r="D13" s="149" t="s">
        <v>708</v>
      </c>
      <c r="E13" s="56">
        <v>28225</v>
      </c>
      <c r="F13" s="56">
        <v>14.7</v>
      </c>
      <c r="G13" s="56">
        <v>4.4000000000000004</v>
      </c>
      <c r="H13" s="56">
        <v>6716</v>
      </c>
      <c r="I13" s="151">
        <f t="shared" si="0"/>
        <v>1.8655555555555556</v>
      </c>
      <c r="J13" s="151">
        <v>2.06</v>
      </c>
      <c r="K13" s="56">
        <v>-0.27</v>
      </c>
      <c r="L13" s="56">
        <v>0.28000000000000003</v>
      </c>
      <c r="M13" s="57" t="s">
        <v>353</v>
      </c>
      <c r="N13" s="153">
        <v>60</v>
      </c>
      <c r="O13" t="s">
        <v>706</v>
      </c>
    </row>
    <row r="14" spans="1:16" x14ac:dyDescent="0.25">
      <c r="A14" s="125">
        <v>205</v>
      </c>
      <c r="B14" s="106">
        <v>0.5</v>
      </c>
      <c r="C14" s="149" t="s">
        <v>709</v>
      </c>
      <c r="D14" s="149" t="s">
        <v>710</v>
      </c>
      <c r="E14" s="56">
        <v>10585</v>
      </c>
      <c r="F14" s="56">
        <v>252.9</v>
      </c>
      <c r="G14" s="56">
        <v>6</v>
      </c>
      <c r="H14" s="56">
        <v>1720</v>
      </c>
      <c r="I14" s="151">
        <f t="shared" si="0"/>
        <v>0.4777777777777778</v>
      </c>
      <c r="J14" s="151">
        <f>21218/60/60</f>
        <v>5.8938888888888892</v>
      </c>
      <c r="K14" s="56">
        <v>-0.21</v>
      </c>
      <c r="L14" s="56">
        <v>0.11</v>
      </c>
      <c r="M14" s="57" t="s">
        <v>353</v>
      </c>
      <c r="N14" s="153">
        <v>61</v>
      </c>
    </row>
    <row r="15" spans="1:16" x14ac:dyDescent="0.25">
      <c r="A15" s="188">
        <v>206</v>
      </c>
      <c r="B15" s="107">
        <v>0.75</v>
      </c>
      <c r="C15" s="189" t="s">
        <v>711</v>
      </c>
      <c r="D15" s="189" t="s">
        <v>712</v>
      </c>
      <c r="E15" s="190">
        <v>6569</v>
      </c>
      <c r="F15" s="190">
        <v>449.7</v>
      </c>
      <c r="G15" s="190">
        <v>5.8</v>
      </c>
      <c r="H15" s="190">
        <v>1134</v>
      </c>
      <c r="I15" s="191">
        <f t="shared" si="0"/>
        <v>0.315</v>
      </c>
      <c r="J15" s="151">
        <f>2660/60/60</f>
        <v>0.73888888888888893</v>
      </c>
      <c r="K15" s="190"/>
      <c r="L15" s="190"/>
      <c r="M15" s="192" t="s">
        <v>353</v>
      </c>
      <c r="N15" s="153">
        <v>61</v>
      </c>
      <c r="O15" t="s">
        <v>713</v>
      </c>
    </row>
    <row r="16" spans="1:16" x14ac:dyDescent="0.25">
      <c r="A16" s="125">
        <v>207</v>
      </c>
      <c r="B16" s="106">
        <v>0</v>
      </c>
      <c r="C16" s="149"/>
      <c r="D16" s="149"/>
      <c r="E16" s="56"/>
      <c r="F16" s="56"/>
      <c r="G16" s="56"/>
      <c r="H16" s="56"/>
      <c r="I16" s="151">
        <f t="shared" si="0"/>
        <v>0</v>
      </c>
      <c r="J16" s="151"/>
      <c r="K16" s="56"/>
      <c r="L16" s="56"/>
      <c r="M16" s="57"/>
      <c r="N16" s="153"/>
    </row>
    <row r="17" spans="1:14" x14ac:dyDescent="0.25">
      <c r="A17" s="125">
        <v>208</v>
      </c>
      <c r="B17" s="106">
        <v>0.25</v>
      </c>
      <c r="C17" s="149"/>
      <c r="D17" s="149"/>
      <c r="E17" s="56"/>
      <c r="F17" s="56"/>
      <c r="G17" s="56"/>
      <c r="H17" s="56"/>
      <c r="I17" s="151">
        <f t="shared" si="0"/>
        <v>0</v>
      </c>
      <c r="J17" s="151"/>
      <c r="K17" s="56"/>
      <c r="L17" s="56"/>
      <c r="M17" s="57"/>
      <c r="N17" s="153"/>
    </row>
    <row r="18" spans="1:14" x14ac:dyDescent="0.25">
      <c r="A18" s="125">
        <v>209</v>
      </c>
      <c r="B18" s="106">
        <v>0.5</v>
      </c>
      <c r="C18" s="149"/>
      <c r="D18" s="149"/>
      <c r="E18" s="56"/>
      <c r="F18" s="56"/>
      <c r="G18" s="56"/>
      <c r="H18" s="56"/>
      <c r="I18" s="151">
        <f t="shared" si="0"/>
        <v>0</v>
      </c>
      <c r="J18" s="151"/>
      <c r="K18" s="56"/>
      <c r="L18" s="56"/>
      <c r="M18" s="57"/>
      <c r="N18" s="153"/>
    </row>
    <row r="19" spans="1:14" x14ac:dyDescent="0.25">
      <c r="A19" s="125">
        <v>210</v>
      </c>
      <c r="B19" s="106">
        <v>0.75</v>
      </c>
      <c r="C19" s="149"/>
      <c r="D19" s="149"/>
      <c r="E19" s="56"/>
      <c r="F19" s="56"/>
      <c r="G19" s="56"/>
      <c r="H19" s="56"/>
      <c r="I19" s="151">
        <f t="shared" si="0"/>
        <v>0</v>
      </c>
      <c r="J19" s="151"/>
      <c r="K19" s="56"/>
      <c r="L19" s="56"/>
      <c r="M19" s="57"/>
      <c r="N19" s="153"/>
    </row>
    <row r="20" spans="1:14" ht="15.75" thickBot="1" x14ac:dyDescent="0.3">
      <c r="A20" s="126">
        <v>211</v>
      </c>
      <c r="B20" s="109">
        <v>0</v>
      </c>
      <c r="C20" s="150"/>
      <c r="D20" s="150"/>
      <c r="E20" s="127"/>
      <c r="F20" s="127"/>
      <c r="G20" s="127"/>
      <c r="H20" s="127"/>
      <c r="I20" s="152">
        <f t="shared" si="0"/>
        <v>0</v>
      </c>
      <c r="J20" s="152"/>
      <c r="K20" s="127"/>
      <c r="L20" s="127"/>
      <c r="M20" s="128"/>
      <c r="N20" s="153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0"/>
  <sheetViews>
    <sheetView topLeftCell="A188" workbookViewId="0">
      <selection activeCell="O194" sqref="O194"/>
    </sheetView>
  </sheetViews>
  <sheetFormatPr defaultRowHeight="15" x14ac:dyDescent="0.25"/>
  <cols>
    <col min="1" max="1" width="5.42578125" customWidth="1"/>
    <col min="2" max="2" width="7.5703125" customWidth="1"/>
    <col min="4" max="4" width="16" customWidth="1"/>
    <col min="5" max="5" width="8.28515625" customWidth="1"/>
    <col min="6" max="6" width="9.140625" style="181"/>
    <col min="8" max="8" width="7.7109375" customWidth="1"/>
  </cols>
  <sheetData>
    <row r="1" spans="1:10" x14ac:dyDescent="0.25">
      <c r="A1" s="94">
        <v>1</v>
      </c>
      <c r="B1" s="162">
        <v>0.16666666666666666</v>
      </c>
      <c r="C1" s="96" t="s">
        <v>14</v>
      </c>
      <c r="D1" s="163" t="s">
        <v>15</v>
      </c>
      <c r="E1" s="96">
        <v>23114</v>
      </c>
      <c r="F1" s="172">
        <v>33.4</v>
      </c>
      <c r="G1" s="163" t="s">
        <v>27</v>
      </c>
      <c r="H1" s="96">
        <v>4896</v>
      </c>
      <c r="I1" s="164">
        <f t="shared" ref="I1:I42" si="0">H1/60/60</f>
        <v>1.3599999999999999</v>
      </c>
      <c r="J1" s="165">
        <f>5751/60/60</f>
        <v>1.5974999999999999</v>
      </c>
    </row>
    <row r="2" spans="1:10" x14ac:dyDescent="0.25">
      <c r="A2" s="9">
        <v>2</v>
      </c>
      <c r="B2" s="10">
        <v>0.33333333333333331</v>
      </c>
      <c r="C2" s="11" t="s">
        <v>17</v>
      </c>
      <c r="D2" s="73" t="s">
        <v>18</v>
      </c>
      <c r="E2" s="11">
        <v>27604</v>
      </c>
      <c r="F2" s="173">
        <v>16.399999999999999</v>
      </c>
      <c r="G2" s="73" t="s">
        <v>26</v>
      </c>
      <c r="H2" s="11">
        <v>6004</v>
      </c>
      <c r="I2" s="14">
        <f t="shared" si="0"/>
        <v>1.6677777777777778</v>
      </c>
      <c r="J2" s="166">
        <f>6637/60/60</f>
        <v>1.8436111111111111</v>
      </c>
    </row>
    <row r="3" spans="1:10" x14ac:dyDescent="0.25">
      <c r="A3" s="9">
        <v>3</v>
      </c>
      <c r="B3" s="10">
        <v>0.5</v>
      </c>
      <c r="C3" s="11" t="s">
        <v>23</v>
      </c>
      <c r="D3" s="73" t="s">
        <v>22</v>
      </c>
      <c r="E3" s="11">
        <v>25430</v>
      </c>
      <c r="F3" s="173">
        <v>22.94</v>
      </c>
      <c r="G3" s="73" t="s">
        <v>27</v>
      </c>
      <c r="H3" s="11">
        <v>6542</v>
      </c>
      <c r="I3" s="14">
        <f t="shared" si="0"/>
        <v>1.8172222222222223</v>
      </c>
      <c r="J3" s="166">
        <f>7328/60/60</f>
        <v>2.0355555555555558</v>
      </c>
    </row>
    <row r="4" spans="1:10" x14ac:dyDescent="0.25">
      <c r="A4" s="9">
        <v>4</v>
      </c>
      <c r="B4" s="10">
        <v>0.66666666666666663</v>
      </c>
      <c r="C4" s="11" t="s">
        <v>21</v>
      </c>
      <c r="D4" s="73" t="s">
        <v>24</v>
      </c>
      <c r="E4" s="11">
        <v>29006</v>
      </c>
      <c r="F4" s="173">
        <v>13.2</v>
      </c>
      <c r="G4" s="73" t="s">
        <v>27</v>
      </c>
      <c r="H4" s="11">
        <v>7106</v>
      </c>
      <c r="I4" s="14">
        <f t="shared" si="0"/>
        <v>1.973888888888889</v>
      </c>
      <c r="J4" s="166">
        <f>7656/60/60</f>
        <v>2.1266666666666665</v>
      </c>
    </row>
    <row r="5" spans="1:10" x14ac:dyDescent="0.25">
      <c r="A5" s="9">
        <v>5</v>
      </c>
      <c r="B5" s="10">
        <v>0.83333333333333337</v>
      </c>
      <c r="C5" s="11" t="s">
        <v>28</v>
      </c>
      <c r="D5" s="73" t="s">
        <v>29</v>
      </c>
      <c r="E5" s="11">
        <v>25496</v>
      </c>
      <c r="F5" s="173">
        <v>22.9</v>
      </c>
      <c r="G5" s="73" t="s">
        <v>38</v>
      </c>
      <c r="H5" s="11">
        <v>4992</v>
      </c>
      <c r="I5" s="14">
        <f t="shared" si="0"/>
        <v>1.3866666666666667</v>
      </c>
      <c r="J5" s="166">
        <f>5450/60/60</f>
        <v>1.5138888888888888</v>
      </c>
    </row>
    <row r="6" spans="1:10" x14ac:dyDescent="0.25">
      <c r="A6" s="18">
        <v>6</v>
      </c>
      <c r="B6" s="19">
        <v>0</v>
      </c>
      <c r="C6" s="20" t="s">
        <v>33</v>
      </c>
      <c r="D6" s="76"/>
      <c r="E6" s="20"/>
      <c r="F6" s="174"/>
      <c r="G6" s="76"/>
      <c r="H6" s="20"/>
      <c r="I6" s="22"/>
      <c r="J6" s="167"/>
    </row>
    <row r="7" spans="1:10" x14ac:dyDescent="0.25">
      <c r="A7" s="9">
        <v>7</v>
      </c>
      <c r="B7" s="10">
        <v>0.16666666666666666</v>
      </c>
      <c r="C7" s="11" t="s">
        <v>35</v>
      </c>
      <c r="D7" s="73" t="s">
        <v>36</v>
      </c>
      <c r="E7" s="11">
        <v>23767</v>
      </c>
      <c r="F7" s="173">
        <v>29.9</v>
      </c>
      <c r="G7" s="73" t="s">
        <v>38</v>
      </c>
      <c r="H7" s="11">
        <v>4646</v>
      </c>
      <c r="I7" s="14">
        <f t="shared" si="0"/>
        <v>1.2905555555555557</v>
      </c>
      <c r="J7" s="166">
        <f>5336/60/60</f>
        <v>1.4822222222222223</v>
      </c>
    </row>
    <row r="8" spans="1:10" x14ac:dyDescent="0.25">
      <c r="A8" s="9">
        <v>8</v>
      </c>
      <c r="B8" s="10">
        <v>0.33333333333333331</v>
      </c>
      <c r="C8" s="11" t="s">
        <v>42</v>
      </c>
      <c r="D8" s="73" t="s">
        <v>43</v>
      </c>
      <c r="E8" s="11">
        <v>24798</v>
      </c>
      <c r="F8" s="173">
        <v>25.5</v>
      </c>
      <c r="G8" s="73" t="s">
        <v>38</v>
      </c>
      <c r="H8" s="11">
        <v>4996</v>
      </c>
      <c r="I8" s="14">
        <f t="shared" si="0"/>
        <v>1.3877777777777778</v>
      </c>
      <c r="J8" s="166">
        <f>5646/60/60</f>
        <v>1.5683333333333331</v>
      </c>
    </row>
    <row r="9" spans="1:10" x14ac:dyDescent="0.25">
      <c r="A9" s="9">
        <v>9</v>
      </c>
      <c r="B9" s="10">
        <v>0.5</v>
      </c>
      <c r="C9" s="11" t="s">
        <v>45</v>
      </c>
      <c r="D9" s="73" t="s">
        <v>44</v>
      </c>
      <c r="E9" s="11">
        <v>17793</v>
      </c>
      <c r="F9" s="173">
        <v>82.1</v>
      </c>
      <c r="G9" s="73" t="s">
        <v>27</v>
      </c>
      <c r="H9" s="11">
        <v>3936</v>
      </c>
      <c r="I9" s="14">
        <f t="shared" si="0"/>
        <v>1.0933333333333333</v>
      </c>
      <c r="J9" s="166">
        <f>4790/60/60</f>
        <v>1.3305555555555555</v>
      </c>
    </row>
    <row r="10" spans="1:10" x14ac:dyDescent="0.25">
      <c r="A10" s="9">
        <v>10</v>
      </c>
      <c r="B10" s="10">
        <v>0.66666666666666663</v>
      </c>
      <c r="C10" s="11" t="s">
        <v>46</v>
      </c>
      <c r="D10" s="73" t="s">
        <v>47</v>
      </c>
      <c r="E10" s="11">
        <v>26769</v>
      </c>
      <c r="F10" s="173">
        <v>18.600000000000001</v>
      </c>
      <c r="G10" s="73" t="s">
        <v>48</v>
      </c>
      <c r="H10" s="11">
        <v>5642</v>
      </c>
      <c r="I10" s="14">
        <f t="shared" si="0"/>
        <v>1.5672222222222223</v>
      </c>
      <c r="J10" s="166">
        <f>6350/60/60</f>
        <v>1.7638888888888888</v>
      </c>
    </row>
    <row r="11" spans="1:10" x14ac:dyDescent="0.25">
      <c r="A11" s="24">
        <v>11</v>
      </c>
      <c r="B11" s="46">
        <v>0.83333333333333337</v>
      </c>
      <c r="C11" s="40" t="s">
        <v>49</v>
      </c>
      <c r="D11" s="74" t="s">
        <v>52</v>
      </c>
      <c r="E11" s="40">
        <v>25749</v>
      </c>
      <c r="F11" s="175">
        <v>21.9</v>
      </c>
      <c r="G11" s="74" t="s">
        <v>48</v>
      </c>
      <c r="H11" s="40">
        <v>5782</v>
      </c>
      <c r="I11" s="49">
        <f t="shared" si="0"/>
        <v>1.606111111111111</v>
      </c>
      <c r="J11" s="168">
        <f>6414/60/60</f>
        <v>1.7816666666666667</v>
      </c>
    </row>
    <row r="12" spans="1:10" x14ac:dyDescent="0.25">
      <c r="A12" s="9">
        <v>12</v>
      </c>
      <c r="B12" s="10">
        <v>0.90972222222222221</v>
      </c>
      <c r="C12" s="11" t="s">
        <v>51</v>
      </c>
      <c r="D12" s="73"/>
      <c r="E12" s="11"/>
      <c r="F12" s="173"/>
      <c r="G12" s="73"/>
      <c r="H12" s="11"/>
      <c r="I12" s="14"/>
      <c r="J12" s="166"/>
    </row>
    <row r="13" spans="1:10" x14ac:dyDescent="0.25">
      <c r="A13" s="9">
        <v>13</v>
      </c>
      <c r="B13" s="10">
        <v>0.90972222222222221</v>
      </c>
      <c r="C13" s="11" t="s">
        <v>54</v>
      </c>
      <c r="D13" s="73" t="s">
        <v>55</v>
      </c>
      <c r="E13" s="11">
        <v>23695</v>
      </c>
      <c r="F13" s="173">
        <v>30.5</v>
      </c>
      <c r="G13" s="73" t="s">
        <v>27</v>
      </c>
      <c r="H13" s="11">
        <v>5130</v>
      </c>
      <c r="I13" s="14">
        <f t="shared" si="0"/>
        <v>1.425</v>
      </c>
      <c r="J13" s="166">
        <f>5946/60/60</f>
        <v>1.6516666666666666</v>
      </c>
    </row>
    <row r="14" spans="1:10" x14ac:dyDescent="0.25">
      <c r="A14" s="9">
        <v>14</v>
      </c>
      <c r="B14" s="10">
        <v>0.16666666666666666</v>
      </c>
      <c r="C14" s="11" t="s">
        <v>58</v>
      </c>
      <c r="D14" s="73" t="s">
        <v>59</v>
      </c>
      <c r="E14" s="11">
        <v>27182</v>
      </c>
      <c r="F14" s="173">
        <v>17.5</v>
      </c>
      <c r="G14" s="73" t="s">
        <v>48</v>
      </c>
      <c r="H14" s="11">
        <v>6418</v>
      </c>
      <c r="I14" s="14">
        <f t="shared" si="0"/>
        <v>1.7827777777777778</v>
      </c>
      <c r="J14" s="166">
        <f>8946/60/60</f>
        <v>2.4849999999999999</v>
      </c>
    </row>
    <row r="15" spans="1:10" x14ac:dyDescent="0.25">
      <c r="A15" s="9">
        <v>15</v>
      </c>
      <c r="B15" s="10">
        <v>0.33333333333333331</v>
      </c>
      <c r="C15" s="11" t="s">
        <v>61</v>
      </c>
      <c r="D15" s="73" t="s">
        <v>62</v>
      </c>
      <c r="E15" s="11">
        <v>23725</v>
      </c>
      <c r="F15" s="173">
        <v>30.3</v>
      </c>
      <c r="G15" s="73" t="s">
        <v>27</v>
      </c>
      <c r="H15" s="11">
        <v>5448</v>
      </c>
      <c r="I15" s="14">
        <f t="shared" si="0"/>
        <v>1.5133333333333332</v>
      </c>
      <c r="J15" s="166">
        <f>6570/60/60</f>
        <v>1.825</v>
      </c>
    </row>
    <row r="16" spans="1:10" x14ac:dyDescent="0.25">
      <c r="A16" s="9">
        <v>16</v>
      </c>
      <c r="B16" s="10">
        <v>0.5</v>
      </c>
      <c r="C16" s="11" t="s">
        <v>63</v>
      </c>
      <c r="D16" s="73" t="s">
        <v>64</v>
      </c>
      <c r="E16" s="11">
        <v>25673</v>
      </c>
      <c r="F16" s="173">
        <v>30.3</v>
      </c>
      <c r="G16" s="73" t="s">
        <v>27</v>
      </c>
      <c r="H16" s="11">
        <v>5072</v>
      </c>
      <c r="I16" s="14">
        <f t="shared" si="0"/>
        <v>1.4088888888888889</v>
      </c>
      <c r="J16" s="166">
        <f>5718/60/60</f>
        <v>1.5883333333333334</v>
      </c>
    </row>
    <row r="17" spans="1:10" x14ac:dyDescent="0.25">
      <c r="A17" s="9">
        <v>17</v>
      </c>
      <c r="B17" s="10">
        <v>0.66666666666666663</v>
      </c>
      <c r="C17" s="11" t="s">
        <v>67</v>
      </c>
      <c r="D17" s="73" t="s">
        <v>68</v>
      </c>
      <c r="E17" s="11">
        <v>24741</v>
      </c>
      <c r="F17" s="173">
        <v>25.6</v>
      </c>
      <c r="G17" s="73" t="s">
        <v>27</v>
      </c>
      <c r="H17" s="11">
        <v>4848</v>
      </c>
      <c r="I17" s="14">
        <f t="shared" si="0"/>
        <v>1.3466666666666667</v>
      </c>
      <c r="J17" s="166">
        <f>5560/60/60</f>
        <v>1.5444444444444445</v>
      </c>
    </row>
    <row r="18" spans="1:10" x14ac:dyDescent="0.25">
      <c r="A18" s="9">
        <v>18</v>
      </c>
      <c r="B18" s="10">
        <v>0.83333333333333337</v>
      </c>
      <c r="C18" s="11" t="s">
        <v>69</v>
      </c>
      <c r="D18" s="73" t="s">
        <v>70</v>
      </c>
      <c r="E18" s="11">
        <v>28217</v>
      </c>
      <c r="F18" s="173">
        <v>15</v>
      </c>
      <c r="G18" s="73" t="s">
        <v>48</v>
      </c>
      <c r="H18" s="11">
        <v>6368</v>
      </c>
      <c r="I18" s="14">
        <f t="shared" si="0"/>
        <v>1.768888888888889</v>
      </c>
      <c r="J18" s="166">
        <f>7086/60/60</f>
        <v>1.9683333333333333</v>
      </c>
    </row>
    <row r="19" spans="1:10" x14ac:dyDescent="0.25">
      <c r="A19" s="18">
        <v>19</v>
      </c>
      <c r="B19" s="19">
        <v>0</v>
      </c>
      <c r="C19" s="20" t="s">
        <v>77</v>
      </c>
      <c r="D19" s="76"/>
      <c r="E19" s="20"/>
      <c r="F19" s="174"/>
      <c r="G19" s="76"/>
      <c r="H19" s="20"/>
      <c r="I19" s="22"/>
      <c r="J19" s="167"/>
    </row>
    <row r="20" spans="1:10" x14ac:dyDescent="0.25">
      <c r="A20" s="9">
        <v>20</v>
      </c>
      <c r="B20" s="10">
        <v>0.16666666666666666</v>
      </c>
      <c r="C20" s="11" t="s">
        <v>79</v>
      </c>
      <c r="D20" s="73" t="s">
        <v>80</v>
      </c>
      <c r="E20" s="11">
        <v>27258</v>
      </c>
      <c r="F20" s="173">
        <v>17.3</v>
      </c>
      <c r="G20" s="73" t="s">
        <v>27</v>
      </c>
      <c r="H20" s="11">
        <v>6171</v>
      </c>
      <c r="I20" s="14">
        <f t="shared" si="0"/>
        <v>1.7141666666666666</v>
      </c>
      <c r="J20" s="166">
        <f>6208/60/60</f>
        <v>1.7244444444444444</v>
      </c>
    </row>
    <row r="21" spans="1:10" x14ac:dyDescent="0.25">
      <c r="A21" s="9">
        <v>21</v>
      </c>
      <c r="B21" s="10">
        <v>0.33333333333333331</v>
      </c>
      <c r="C21" s="11" t="s">
        <v>81</v>
      </c>
      <c r="D21" s="73" t="s">
        <v>82</v>
      </c>
      <c r="E21" s="11">
        <v>26170</v>
      </c>
      <c r="F21" s="173">
        <v>20.6</v>
      </c>
      <c r="G21" s="73" t="s">
        <v>27</v>
      </c>
      <c r="H21" s="11">
        <v>6940</v>
      </c>
      <c r="I21" s="14">
        <f t="shared" si="0"/>
        <v>1.9277777777777778</v>
      </c>
      <c r="J21" s="166">
        <f>7674/60/60</f>
        <v>2.1316666666666668</v>
      </c>
    </row>
    <row r="22" spans="1:10" x14ac:dyDescent="0.25">
      <c r="A22" s="9">
        <v>22</v>
      </c>
      <c r="B22" s="10">
        <v>0.5</v>
      </c>
      <c r="C22" s="11" t="s">
        <v>83</v>
      </c>
      <c r="D22" s="73" t="s">
        <v>84</v>
      </c>
      <c r="E22" s="11">
        <v>28177</v>
      </c>
      <c r="F22" s="173">
        <v>15</v>
      </c>
      <c r="G22" s="73" t="s">
        <v>37</v>
      </c>
      <c r="H22" s="11">
        <v>10024</v>
      </c>
      <c r="I22" s="14">
        <f t="shared" si="0"/>
        <v>2.7844444444444445</v>
      </c>
      <c r="J22" s="166">
        <f>10724/60/60</f>
        <v>2.9788888888888887</v>
      </c>
    </row>
    <row r="23" spans="1:10" x14ac:dyDescent="0.25">
      <c r="A23" s="9">
        <v>23</v>
      </c>
      <c r="B23" s="10">
        <v>0.66666666666666663</v>
      </c>
      <c r="C23" s="11" t="s">
        <v>85</v>
      </c>
      <c r="D23" s="73" t="s">
        <v>86</v>
      </c>
      <c r="E23" s="11">
        <v>21390</v>
      </c>
      <c r="F23" s="173">
        <v>44.2</v>
      </c>
      <c r="G23" s="73" t="s">
        <v>27</v>
      </c>
      <c r="H23" s="11">
        <v>4693</v>
      </c>
      <c r="I23" s="14">
        <f t="shared" si="0"/>
        <v>1.3036111111111111</v>
      </c>
      <c r="J23" s="166">
        <f>5582/60/60</f>
        <v>1.5505555555555555</v>
      </c>
    </row>
    <row r="24" spans="1:10" x14ac:dyDescent="0.25">
      <c r="A24" s="9">
        <v>24</v>
      </c>
      <c r="B24" s="10">
        <v>0.83333333333333337</v>
      </c>
      <c r="C24" s="11" t="s">
        <v>88</v>
      </c>
      <c r="D24" s="73" t="s">
        <v>89</v>
      </c>
      <c r="E24" s="11">
        <v>27389</v>
      </c>
      <c r="F24" s="173">
        <v>17</v>
      </c>
      <c r="G24" s="73" t="s">
        <v>27</v>
      </c>
      <c r="H24" s="11">
        <v>6474</v>
      </c>
      <c r="I24" s="14">
        <f t="shared" si="0"/>
        <v>1.7983333333333333</v>
      </c>
      <c r="J24" s="166">
        <f>7134/60/60</f>
        <v>1.9816666666666667</v>
      </c>
    </row>
    <row r="25" spans="1:10" x14ac:dyDescent="0.25">
      <c r="A25" s="24">
        <v>25</v>
      </c>
      <c r="B25" s="10">
        <v>0</v>
      </c>
      <c r="C25" s="11" t="s">
        <v>91</v>
      </c>
      <c r="D25" s="73" t="s">
        <v>92</v>
      </c>
      <c r="E25" s="11">
        <v>28236</v>
      </c>
      <c r="F25" s="173">
        <v>14.9</v>
      </c>
      <c r="G25" s="73" t="s">
        <v>27</v>
      </c>
      <c r="H25" s="11">
        <v>6268</v>
      </c>
      <c r="I25" s="14">
        <f t="shared" si="0"/>
        <v>1.7411111111111111</v>
      </c>
      <c r="J25" s="166">
        <f>6988/60/60</f>
        <v>1.9411111111111112</v>
      </c>
    </row>
    <row r="26" spans="1:10" x14ac:dyDescent="0.25">
      <c r="A26" s="24">
        <v>26</v>
      </c>
      <c r="B26" s="10">
        <v>0.16666666666666666</v>
      </c>
      <c r="C26" s="11" t="s">
        <v>93</v>
      </c>
      <c r="D26" s="73" t="s">
        <v>95</v>
      </c>
      <c r="E26" s="11">
        <v>25066</v>
      </c>
      <c r="F26" s="173">
        <v>24.4</v>
      </c>
      <c r="G26" s="73" t="s">
        <v>27</v>
      </c>
      <c r="H26" s="11">
        <v>4672</v>
      </c>
      <c r="I26" s="14">
        <f t="shared" si="0"/>
        <v>1.2977777777777777</v>
      </c>
      <c r="J26" s="166">
        <f>5322/60/60</f>
        <v>1.4783333333333333</v>
      </c>
    </row>
    <row r="27" spans="1:10" x14ac:dyDescent="0.25">
      <c r="A27" s="24">
        <v>27</v>
      </c>
      <c r="B27" s="10">
        <v>0.33333333333333331</v>
      </c>
      <c r="C27" s="11" t="s">
        <v>96</v>
      </c>
      <c r="D27" s="73" t="s">
        <v>97</v>
      </c>
      <c r="E27" s="11">
        <v>26461</v>
      </c>
      <c r="F27" s="173">
        <v>19.7</v>
      </c>
      <c r="G27" s="73" t="s">
        <v>98</v>
      </c>
      <c r="H27" s="11">
        <v>5970</v>
      </c>
      <c r="I27" s="14">
        <f t="shared" si="0"/>
        <v>1.6583333333333334</v>
      </c>
      <c r="J27" s="166">
        <v>1.85</v>
      </c>
    </row>
    <row r="28" spans="1:10" x14ac:dyDescent="0.25">
      <c r="A28" s="24">
        <v>28</v>
      </c>
      <c r="B28" s="10">
        <v>0.5</v>
      </c>
      <c r="C28" s="11" t="s">
        <v>99</v>
      </c>
      <c r="D28" s="73" t="s">
        <v>100</v>
      </c>
      <c r="E28" s="11">
        <v>28024</v>
      </c>
      <c r="F28" s="173">
        <v>15.4</v>
      </c>
      <c r="G28" s="73" t="s">
        <v>101</v>
      </c>
      <c r="H28" s="11">
        <v>6606</v>
      </c>
      <c r="I28" s="14">
        <f t="shared" si="0"/>
        <v>1.835</v>
      </c>
      <c r="J28" s="166">
        <v>2.02</v>
      </c>
    </row>
    <row r="29" spans="1:10" x14ac:dyDescent="0.25">
      <c r="A29" s="24">
        <v>29</v>
      </c>
      <c r="B29" s="10">
        <v>0.66666666666666663</v>
      </c>
      <c r="C29" s="11" t="s">
        <v>102</v>
      </c>
      <c r="D29" s="73" t="s">
        <v>103</v>
      </c>
      <c r="E29" s="11">
        <v>28785</v>
      </c>
      <c r="F29" s="173">
        <v>13.7</v>
      </c>
      <c r="G29" s="73" t="s">
        <v>27</v>
      </c>
      <c r="H29" s="11">
        <v>6642</v>
      </c>
      <c r="I29" s="14">
        <f t="shared" si="0"/>
        <v>1.845</v>
      </c>
      <c r="J29" s="166">
        <f>7734/60/60</f>
        <v>2.1483333333333334</v>
      </c>
    </row>
    <row r="30" spans="1:10" x14ac:dyDescent="0.25">
      <c r="A30" s="24">
        <v>30</v>
      </c>
      <c r="B30" s="10">
        <v>0.83333333333333337</v>
      </c>
      <c r="C30" s="11" t="s">
        <v>105</v>
      </c>
      <c r="D30" s="73" t="s">
        <v>106</v>
      </c>
      <c r="E30" s="11">
        <v>26123</v>
      </c>
      <c r="F30" s="173">
        <v>20.7</v>
      </c>
      <c r="G30" s="73" t="s">
        <v>27</v>
      </c>
      <c r="H30" s="11">
        <v>4308</v>
      </c>
      <c r="I30" s="14">
        <f t="shared" si="0"/>
        <v>1.1966666666666665</v>
      </c>
      <c r="J30" s="166">
        <f>5414/60/60</f>
        <v>1.5038888888888888</v>
      </c>
    </row>
    <row r="31" spans="1:10" x14ac:dyDescent="0.25">
      <c r="A31" s="24">
        <v>31</v>
      </c>
      <c r="B31" s="46">
        <v>0</v>
      </c>
      <c r="C31" s="40" t="s">
        <v>109</v>
      </c>
      <c r="D31" s="74" t="s">
        <v>110</v>
      </c>
      <c r="E31" s="40">
        <v>22796</v>
      </c>
      <c r="F31" s="175">
        <v>35.1</v>
      </c>
      <c r="G31" s="74" t="s">
        <v>27</v>
      </c>
      <c r="H31" s="40">
        <v>4418</v>
      </c>
      <c r="I31" s="49">
        <f t="shared" si="0"/>
        <v>1.2272222222222224</v>
      </c>
      <c r="J31" s="168">
        <f>5690/60/60</f>
        <v>1.5805555555555555</v>
      </c>
    </row>
    <row r="32" spans="1:10" x14ac:dyDescent="0.25">
      <c r="A32" s="24">
        <v>32</v>
      </c>
      <c r="B32" s="10">
        <v>0.25</v>
      </c>
      <c r="C32" s="11" t="s">
        <v>112</v>
      </c>
      <c r="D32" s="73" t="s">
        <v>114</v>
      </c>
      <c r="E32" s="11">
        <v>24822</v>
      </c>
      <c r="F32" s="173">
        <v>25.4</v>
      </c>
      <c r="G32" s="73" t="s">
        <v>27</v>
      </c>
      <c r="H32" s="11">
        <v>4706</v>
      </c>
      <c r="I32" s="14">
        <f t="shared" si="0"/>
        <v>1.3072222222222223</v>
      </c>
      <c r="J32" s="166"/>
    </row>
    <row r="33" spans="1:10" x14ac:dyDescent="0.25">
      <c r="A33" s="9">
        <v>33</v>
      </c>
      <c r="B33" s="46">
        <v>0.375</v>
      </c>
      <c r="C33" s="11" t="s">
        <v>115</v>
      </c>
      <c r="D33" s="12" t="s">
        <v>116</v>
      </c>
      <c r="E33" s="11">
        <v>26510</v>
      </c>
      <c r="F33" s="173">
        <v>19.5</v>
      </c>
      <c r="G33" s="73" t="s">
        <v>27</v>
      </c>
      <c r="H33" s="11">
        <v>6276</v>
      </c>
      <c r="I33" s="14">
        <f t="shared" si="0"/>
        <v>1.7433333333333332</v>
      </c>
      <c r="J33" s="166">
        <f>6966/60/60</f>
        <v>1.9349999999999998</v>
      </c>
    </row>
    <row r="34" spans="1:10" x14ac:dyDescent="0.25">
      <c r="A34" s="9">
        <v>34</v>
      </c>
      <c r="B34" s="46">
        <v>0.5</v>
      </c>
      <c r="C34" s="11" t="s">
        <v>118</v>
      </c>
      <c r="D34" s="12" t="s">
        <v>119</v>
      </c>
      <c r="E34" s="11">
        <v>24842</v>
      </c>
      <c r="F34" s="173">
        <v>25.2</v>
      </c>
      <c r="G34" s="73" t="s">
        <v>27</v>
      </c>
      <c r="H34" s="11">
        <v>5132</v>
      </c>
      <c r="I34" s="14">
        <f t="shared" si="0"/>
        <v>1.4255555555555555</v>
      </c>
      <c r="J34" s="166">
        <f>5878/60/60</f>
        <v>1.6327777777777779</v>
      </c>
    </row>
    <row r="35" spans="1:10" x14ac:dyDescent="0.25">
      <c r="A35" s="24">
        <v>35</v>
      </c>
      <c r="B35" s="46">
        <v>0.625</v>
      </c>
      <c r="C35" s="40" t="s">
        <v>121</v>
      </c>
      <c r="D35" s="47" t="s">
        <v>120</v>
      </c>
      <c r="E35" s="40">
        <v>18514</v>
      </c>
      <c r="F35" s="175">
        <v>72.3</v>
      </c>
      <c r="G35" s="74" t="s">
        <v>27</v>
      </c>
      <c r="H35" s="40">
        <v>4426</v>
      </c>
      <c r="I35" s="14">
        <f t="shared" si="0"/>
        <v>1.2294444444444443</v>
      </c>
      <c r="J35" s="166">
        <f>4426/60/60</f>
        <v>1.2294444444444443</v>
      </c>
    </row>
    <row r="36" spans="1:10" x14ac:dyDescent="0.25">
      <c r="A36" s="24">
        <v>36</v>
      </c>
      <c r="B36" s="46">
        <v>0.75</v>
      </c>
      <c r="C36" s="40" t="s">
        <v>136</v>
      </c>
      <c r="D36" s="47" t="s">
        <v>137</v>
      </c>
      <c r="E36" s="40">
        <v>18514</v>
      </c>
      <c r="F36" s="175">
        <v>72.3</v>
      </c>
      <c r="G36" s="74" t="s">
        <v>27</v>
      </c>
      <c r="H36" s="40">
        <v>4426</v>
      </c>
      <c r="I36" s="14">
        <f t="shared" si="0"/>
        <v>1.2294444444444443</v>
      </c>
      <c r="J36" s="166">
        <f>4426/60/60</f>
        <v>1.2294444444444443</v>
      </c>
    </row>
    <row r="37" spans="1:10" x14ac:dyDescent="0.25">
      <c r="A37" s="24">
        <v>37</v>
      </c>
      <c r="B37" s="46">
        <v>0.875</v>
      </c>
      <c r="C37" s="40" t="s">
        <v>123</v>
      </c>
      <c r="D37" s="47" t="s">
        <v>124</v>
      </c>
      <c r="E37" s="40">
        <v>16806</v>
      </c>
      <c r="F37" s="175">
        <v>98.2</v>
      </c>
      <c r="G37" s="74" t="s">
        <v>27</v>
      </c>
      <c r="H37" s="40">
        <v>4136</v>
      </c>
      <c r="I37" s="14">
        <f t="shared" si="0"/>
        <v>1.1488888888888888</v>
      </c>
      <c r="J37" s="166">
        <f>4136/60/60</f>
        <v>1.1488888888888888</v>
      </c>
    </row>
    <row r="38" spans="1:10" x14ac:dyDescent="0.25">
      <c r="A38" s="24">
        <v>38</v>
      </c>
      <c r="B38" s="46">
        <v>0</v>
      </c>
      <c r="C38" s="40" t="s">
        <v>126</v>
      </c>
      <c r="D38" s="47" t="s">
        <v>127</v>
      </c>
      <c r="E38" s="40">
        <v>21593</v>
      </c>
      <c r="F38" s="175">
        <v>42.7</v>
      </c>
      <c r="G38" s="74" t="s">
        <v>27</v>
      </c>
      <c r="H38" s="40">
        <v>4714</v>
      </c>
      <c r="I38" s="49">
        <f t="shared" si="0"/>
        <v>1.3094444444444444</v>
      </c>
      <c r="J38" s="166">
        <f>4714/60/60</f>
        <v>1.3094444444444444</v>
      </c>
    </row>
    <row r="39" spans="1:10" x14ac:dyDescent="0.25">
      <c r="A39" s="24">
        <v>39</v>
      </c>
      <c r="B39" s="46">
        <v>0.125</v>
      </c>
      <c r="C39" s="40" t="s">
        <v>133</v>
      </c>
      <c r="D39" s="47" t="s">
        <v>134</v>
      </c>
      <c r="E39" s="40">
        <v>20200</v>
      </c>
      <c r="F39" s="175">
        <v>54</v>
      </c>
      <c r="G39" s="74" t="s">
        <v>48</v>
      </c>
      <c r="H39" s="40">
        <v>4744</v>
      </c>
      <c r="I39" s="49">
        <f t="shared" si="0"/>
        <v>1.3177777777777777</v>
      </c>
      <c r="J39" s="166">
        <f>4744/60/60</f>
        <v>1.3177777777777777</v>
      </c>
    </row>
    <row r="40" spans="1:10" x14ac:dyDescent="0.25">
      <c r="A40" s="24">
        <v>40</v>
      </c>
      <c r="B40" s="46">
        <v>0.25</v>
      </c>
      <c r="C40" s="40" t="s">
        <v>138</v>
      </c>
      <c r="D40" s="47" t="s">
        <v>139</v>
      </c>
      <c r="E40" s="40">
        <v>25514</v>
      </c>
      <c r="F40" s="175">
        <v>22.8</v>
      </c>
      <c r="G40" s="74" t="s">
        <v>27</v>
      </c>
      <c r="H40" s="40">
        <v>5232</v>
      </c>
      <c r="I40" s="49">
        <f t="shared" si="0"/>
        <v>1.4533333333333334</v>
      </c>
      <c r="J40" s="166">
        <f>5232/60/60</f>
        <v>1.4533333333333334</v>
      </c>
    </row>
    <row r="41" spans="1:10" x14ac:dyDescent="0.25">
      <c r="A41" s="24">
        <v>41</v>
      </c>
      <c r="B41" s="46">
        <v>0.375</v>
      </c>
      <c r="C41" s="40" t="s">
        <v>141</v>
      </c>
      <c r="D41" s="47" t="s">
        <v>142</v>
      </c>
      <c r="E41" s="40">
        <v>26603</v>
      </c>
      <c r="F41" s="175">
        <v>19.3</v>
      </c>
      <c r="G41" s="80" t="s">
        <v>27</v>
      </c>
      <c r="H41" s="40">
        <v>5302</v>
      </c>
      <c r="I41" s="49">
        <f t="shared" si="0"/>
        <v>1.4727777777777777</v>
      </c>
      <c r="J41" s="166">
        <f>5302/60/60</f>
        <v>1.4727777777777777</v>
      </c>
    </row>
    <row r="42" spans="1:10" x14ac:dyDescent="0.25">
      <c r="A42" s="24">
        <v>42</v>
      </c>
      <c r="B42" s="46">
        <v>0.5</v>
      </c>
      <c r="C42" s="40" t="s">
        <v>144</v>
      </c>
      <c r="D42" s="47" t="s">
        <v>146</v>
      </c>
      <c r="E42" s="40"/>
      <c r="F42" s="176"/>
      <c r="G42" s="74" t="s">
        <v>27</v>
      </c>
      <c r="H42" s="40">
        <v>658</v>
      </c>
      <c r="I42" s="49">
        <f t="shared" si="0"/>
        <v>0.18277777777777779</v>
      </c>
      <c r="J42" s="166">
        <f>658/60/60</f>
        <v>0.18277777777777779</v>
      </c>
    </row>
    <row r="43" spans="1:10" x14ac:dyDescent="0.25">
      <c r="A43" s="18">
        <v>43</v>
      </c>
      <c r="B43" s="19">
        <v>0.625</v>
      </c>
      <c r="C43" s="20" t="s">
        <v>145</v>
      </c>
      <c r="D43" s="21" t="s">
        <v>147</v>
      </c>
      <c r="E43" s="20"/>
      <c r="F43" s="174"/>
      <c r="G43" s="76"/>
      <c r="H43" s="20"/>
      <c r="I43" s="22"/>
      <c r="J43" s="167"/>
    </row>
    <row r="44" spans="1:10" x14ac:dyDescent="0.25">
      <c r="A44" s="24">
        <v>44</v>
      </c>
      <c r="B44" s="46">
        <v>0.75</v>
      </c>
      <c r="C44" s="40" t="s">
        <v>148</v>
      </c>
      <c r="D44" s="47" t="s">
        <v>177</v>
      </c>
      <c r="E44" s="40">
        <v>26025</v>
      </c>
      <c r="F44" s="175">
        <v>21.1</v>
      </c>
      <c r="G44" s="74" t="s">
        <v>48</v>
      </c>
      <c r="H44" s="40">
        <v>4864</v>
      </c>
      <c r="I44" s="49">
        <f t="shared" ref="I44:I60" si="1">H44/60/60</f>
        <v>1.3511111111111112</v>
      </c>
      <c r="J44" s="168">
        <f>5858/60/60</f>
        <v>1.6272222222222223</v>
      </c>
    </row>
    <row r="45" spans="1:10" x14ac:dyDescent="0.25">
      <c r="A45" s="24">
        <v>45</v>
      </c>
      <c r="B45" s="46">
        <v>0.875</v>
      </c>
      <c r="C45" s="40" t="s">
        <v>151</v>
      </c>
      <c r="D45" s="47" t="s">
        <v>180</v>
      </c>
      <c r="E45" s="40">
        <v>28021</v>
      </c>
      <c r="F45" s="175">
        <v>15.4</v>
      </c>
      <c r="G45" s="74" t="s">
        <v>27</v>
      </c>
      <c r="H45" s="40">
        <v>5698</v>
      </c>
      <c r="I45" s="49">
        <f t="shared" si="1"/>
        <v>1.5827777777777778</v>
      </c>
      <c r="J45" s="168">
        <f>6656/60/60</f>
        <v>1.848888888888889</v>
      </c>
    </row>
    <row r="46" spans="1:10" x14ac:dyDescent="0.25">
      <c r="A46" s="24">
        <v>46</v>
      </c>
      <c r="B46" s="46">
        <v>0</v>
      </c>
      <c r="C46" s="40" t="s">
        <v>152</v>
      </c>
      <c r="D46" s="47" t="s">
        <v>181</v>
      </c>
      <c r="E46" s="40">
        <v>24403</v>
      </c>
      <c r="F46" s="175">
        <v>27.1</v>
      </c>
      <c r="G46" s="74" t="s">
        <v>27</v>
      </c>
      <c r="H46" s="40">
        <v>5970</v>
      </c>
      <c r="I46" s="49">
        <f t="shared" si="1"/>
        <v>1.6583333333333334</v>
      </c>
      <c r="J46" s="168">
        <f>7416/60/60</f>
        <v>2.06</v>
      </c>
    </row>
    <row r="47" spans="1:10" x14ac:dyDescent="0.25">
      <c r="A47" s="24">
        <v>47</v>
      </c>
      <c r="B47" s="46">
        <v>0.125</v>
      </c>
      <c r="C47" s="40" t="s">
        <v>154</v>
      </c>
      <c r="D47" s="47" t="s">
        <v>186</v>
      </c>
      <c r="E47" s="40">
        <v>26672</v>
      </c>
      <c r="F47" s="175">
        <v>19</v>
      </c>
      <c r="G47" s="74" t="s">
        <v>48</v>
      </c>
      <c r="H47" s="40">
        <v>6142</v>
      </c>
      <c r="I47" s="49">
        <f t="shared" si="1"/>
        <v>1.7061111111111109</v>
      </c>
      <c r="J47" s="168">
        <f>7140/60/60</f>
        <v>1.9833333333333334</v>
      </c>
    </row>
    <row r="48" spans="1:10" x14ac:dyDescent="0.25">
      <c r="A48" s="24">
        <v>48</v>
      </c>
      <c r="B48" s="46">
        <v>0.25</v>
      </c>
      <c r="C48" s="40" t="s">
        <v>156</v>
      </c>
      <c r="D48" s="47" t="s">
        <v>188</v>
      </c>
      <c r="E48" s="40">
        <v>28289</v>
      </c>
      <c r="F48" s="175">
        <v>14.7</v>
      </c>
      <c r="G48" s="74" t="s">
        <v>26</v>
      </c>
      <c r="H48" s="40">
        <v>8052</v>
      </c>
      <c r="I48" s="49">
        <f t="shared" si="1"/>
        <v>2.2366666666666664</v>
      </c>
      <c r="J48" s="168">
        <f>7140/60/60</f>
        <v>1.9833333333333334</v>
      </c>
    </row>
    <row r="49" spans="1:10" x14ac:dyDescent="0.25">
      <c r="A49" s="24">
        <v>49</v>
      </c>
      <c r="B49" s="46">
        <v>0.375</v>
      </c>
      <c r="C49" s="40" t="s">
        <v>157</v>
      </c>
      <c r="D49" s="47" t="s">
        <v>190</v>
      </c>
      <c r="E49" s="40">
        <v>26783</v>
      </c>
      <c r="F49" s="175">
        <v>18.7</v>
      </c>
      <c r="G49" s="74" t="s">
        <v>26</v>
      </c>
      <c r="H49" s="40">
        <v>6436</v>
      </c>
      <c r="I49" s="49">
        <f t="shared" si="1"/>
        <v>1.7877777777777777</v>
      </c>
      <c r="J49" s="168">
        <f>7140/60/60</f>
        <v>1.9833333333333334</v>
      </c>
    </row>
    <row r="50" spans="1:10" x14ac:dyDescent="0.25">
      <c r="A50" s="24">
        <v>50</v>
      </c>
      <c r="B50" s="46">
        <v>0.5</v>
      </c>
      <c r="C50" s="40" t="s">
        <v>163</v>
      </c>
      <c r="D50" s="47" t="s">
        <v>170</v>
      </c>
      <c r="E50" s="40">
        <v>25502</v>
      </c>
      <c r="F50" s="175">
        <v>22.7</v>
      </c>
      <c r="G50" s="74" t="s">
        <v>27</v>
      </c>
      <c r="H50" s="40">
        <v>5990</v>
      </c>
      <c r="I50" s="49">
        <f t="shared" si="1"/>
        <v>1.6638888888888888</v>
      </c>
      <c r="J50" s="168">
        <f>7140/60/60</f>
        <v>1.9833333333333334</v>
      </c>
    </row>
    <row r="51" spans="1:10" x14ac:dyDescent="0.25">
      <c r="A51" s="24">
        <v>51</v>
      </c>
      <c r="B51" s="46">
        <v>0.625</v>
      </c>
      <c r="C51" s="40" t="s">
        <v>166</v>
      </c>
      <c r="D51" s="47" t="s">
        <v>167</v>
      </c>
      <c r="E51" s="40">
        <v>26964</v>
      </c>
      <c r="F51" s="175">
        <v>18.100000000000001</v>
      </c>
      <c r="G51" s="74" t="s">
        <v>48</v>
      </c>
      <c r="H51" s="11">
        <v>5614</v>
      </c>
      <c r="I51" s="49">
        <f t="shared" si="1"/>
        <v>1.5594444444444444</v>
      </c>
      <c r="J51" s="168">
        <f>7140/60/60</f>
        <v>1.9833333333333334</v>
      </c>
    </row>
    <row r="52" spans="1:10" x14ac:dyDescent="0.25">
      <c r="A52" s="24">
        <v>52</v>
      </c>
      <c r="B52" s="46">
        <v>0.75</v>
      </c>
      <c r="C52" s="40" t="s">
        <v>172</v>
      </c>
      <c r="D52" s="47" t="s">
        <v>174</v>
      </c>
      <c r="E52" s="40">
        <v>28703</v>
      </c>
      <c r="F52" s="175">
        <v>13.8</v>
      </c>
      <c r="G52" s="74" t="s">
        <v>48</v>
      </c>
      <c r="H52" s="40">
        <v>6205</v>
      </c>
      <c r="I52" s="49">
        <f t="shared" si="1"/>
        <v>1.7236111111111112</v>
      </c>
      <c r="J52" s="168">
        <f>6984/60/60</f>
        <v>1.9400000000000002</v>
      </c>
    </row>
    <row r="53" spans="1:10" x14ac:dyDescent="0.25">
      <c r="A53" s="18">
        <v>53</v>
      </c>
      <c r="B53" s="19">
        <v>0.875</v>
      </c>
      <c r="C53" s="20" t="s">
        <v>191</v>
      </c>
      <c r="D53" s="21"/>
      <c r="E53" s="20"/>
      <c r="F53" s="174"/>
      <c r="G53" s="76"/>
      <c r="H53" s="20"/>
      <c r="I53" s="22"/>
      <c r="J53" s="167"/>
    </row>
    <row r="54" spans="1:10" x14ac:dyDescent="0.25">
      <c r="A54" s="9">
        <v>54</v>
      </c>
      <c r="B54" s="46">
        <v>0.125</v>
      </c>
      <c r="C54" s="11" t="s">
        <v>193</v>
      </c>
      <c r="D54" s="12" t="s">
        <v>196</v>
      </c>
      <c r="E54" s="11">
        <v>26115</v>
      </c>
      <c r="F54" s="173">
        <v>20.6</v>
      </c>
      <c r="G54" s="73" t="s">
        <v>48</v>
      </c>
      <c r="H54" s="11">
        <v>6012</v>
      </c>
      <c r="I54" s="49">
        <f t="shared" si="1"/>
        <v>1.6700000000000002</v>
      </c>
      <c r="J54" s="168">
        <f>7832/60/60</f>
        <v>2.1755555555555555</v>
      </c>
    </row>
    <row r="55" spans="1:10" x14ac:dyDescent="0.25">
      <c r="A55" s="9">
        <v>55</v>
      </c>
      <c r="B55" s="46">
        <v>0.25</v>
      </c>
      <c r="C55" s="11" t="s">
        <v>201</v>
      </c>
      <c r="D55" s="12" t="s">
        <v>204</v>
      </c>
      <c r="E55" s="11">
        <v>24047</v>
      </c>
      <c r="F55" s="173">
        <v>28.6</v>
      </c>
      <c r="G55" s="73" t="s">
        <v>27</v>
      </c>
      <c r="H55" s="11">
        <v>4550</v>
      </c>
      <c r="I55" s="14">
        <f t="shared" si="1"/>
        <v>1.2638888888888888</v>
      </c>
      <c r="J55" s="166"/>
    </row>
    <row r="56" spans="1:10" x14ac:dyDescent="0.25">
      <c r="A56" s="9">
        <v>56</v>
      </c>
      <c r="B56" s="46">
        <v>0.375</v>
      </c>
      <c r="C56" s="11" t="s">
        <v>203</v>
      </c>
      <c r="D56" s="12" t="s">
        <v>205</v>
      </c>
      <c r="E56" s="11">
        <v>26865</v>
      </c>
      <c r="F56" s="173">
        <v>18.5</v>
      </c>
      <c r="G56" s="73" t="s">
        <v>48</v>
      </c>
      <c r="H56" s="11">
        <v>5838</v>
      </c>
      <c r="I56" s="14">
        <f t="shared" si="1"/>
        <v>1.6216666666666666</v>
      </c>
      <c r="J56" s="166"/>
    </row>
    <row r="57" spans="1:10" x14ac:dyDescent="0.25">
      <c r="A57" s="24">
        <v>57</v>
      </c>
      <c r="B57" s="46">
        <v>0.5</v>
      </c>
      <c r="C57" s="11" t="s">
        <v>207</v>
      </c>
      <c r="D57" s="12" t="s">
        <v>209</v>
      </c>
      <c r="E57" s="11">
        <v>25501</v>
      </c>
      <c r="F57" s="173">
        <v>22.7</v>
      </c>
      <c r="G57" s="73" t="s">
        <v>98</v>
      </c>
      <c r="H57" s="11">
        <v>5830</v>
      </c>
      <c r="I57" s="14">
        <f t="shared" si="1"/>
        <v>1.6194444444444445</v>
      </c>
      <c r="J57" s="168">
        <f>4886/60/60</f>
        <v>1.3572222222222223</v>
      </c>
    </row>
    <row r="58" spans="1:10" x14ac:dyDescent="0.25">
      <c r="A58" s="24">
        <v>58</v>
      </c>
      <c r="B58" s="46">
        <v>0.625</v>
      </c>
      <c r="C58" s="11" t="s">
        <v>218</v>
      </c>
      <c r="D58" s="12" t="s">
        <v>215</v>
      </c>
      <c r="E58" s="11">
        <v>23747</v>
      </c>
      <c r="F58" s="173">
        <v>29.4</v>
      </c>
      <c r="G58" s="73" t="s">
        <v>217</v>
      </c>
      <c r="H58" s="11">
        <v>3854</v>
      </c>
      <c r="I58" s="14">
        <f t="shared" si="1"/>
        <v>1.0705555555555555</v>
      </c>
      <c r="J58" s="168">
        <f>4886/60/60</f>
        <v>1.3572222222222223</v>
      </c>
    </row>
    <row r="59" spans="1:10" x14ac:dyDescent="0.25">
      <c r="A59" s="24">
        <v>59</v>
      </c>
      <c r="B59" s="46">
        <v>0.75</v>
      </c>
      <c r="C59" s="11" t="s">
        <v>219</v>
      </c>
      <c r="D59" s="12" t="s">
        <v>221</v>
      </c>
      <c r="E59" s="11">
        <v>24896</v>
      </c>
      <c r="F59" s="173">
        <v>25.1</v>
      </c>
      <c r="G59" s="73" t="s">
        <v>222</v>
      </c>
      <c r="H59" s="11">
        <v>4888</v>
      </c>
      <c r="I59" s="14">
        <f t="shared" si="1"/>
        <v>1.3577777777777778</v>
      </c>
      <c r="J59" s="168">
        <f>5644/60/60</f>
        <v>1.5677777777777777</v>
      </c>
    </row>
    <row r="60" spans="1:10" x14ac:dyDescent="0.25">
      <c r="A60" s="24">
        <v>60</v>
      </c>
      <c r="B60" s="46">
        <v>0.875</v>
      </c>
      <c r="C60" s="11" t="s">
        <v>223</v>
      </c>
      <c r="D60" s="12" t="s">
        <v>227</v>
      </c>
      <c r="E60" s="11">
        <v>25963</v>
      </c>
      <c r="F60" s="173">
        <v>21.2</v>
      </c>
      <c r="G60" s="73" t="s">
        <v>228</v>
      </c>
      <c r="H60" s="11">
        <v>4754</v>
      </c>
      <c r="I60" s="14">
        <f t="shared" si="1"/>
        <v>1.3205555555555555</v>
      </c>
      <c r="J60" s="168">
        <f>5644/60/60</f>
        <v>1.5677777777777777</v>
      </c>
    </row>
    <row r="61" spans="1:10" x14ac:dyDescent="0.25">
      <c r="A61" s="18">
        <v>61</v>
      </c>
      <c r="B61" s="19">
        <v>0</v>
      </c>
      <c r="C61" s="20"/>
      <c r="D61" s="21"/>
      <c r="E61" s="20"/>
      <c r="F61" s="174"/>
      <c r="G61" s="76"/>
      <c r="H61" s="20"/>
      <c r="I61" s="22"/>
      <c r="J61" s="167"/>
    </row>
    <row r="62" spans="1:10" x14ac:dyDescent="0.25">
      <c r="A62" s="18">
        <v>62</v>
      </c>
      <c r="B62" s="19">
        <v>0</v>
      </c>
      <c r="C62" s="20"/>
      <c r="D62" s="21"/>
      <c r="E62" s="20"/>
      <c r="F62" s="174"/>
      <c r="G62" s="76"/>
      <c r="H62" s="20"/>
      <c r="I62" s="22"/>
      <c r="J62" s="167"/>
    </row>
    <row r="63" spans="1:10" x14ac:dyDescent="0.25">
      <c r="A63" s="24">
        <v>63</v>
      </c>
      <c r="B63" s="46">
        <v>0.125</v>
      </c>
      <c r="C63" s="11" t="s">
        <v>229</v>
      </c>
      <c r="D63" s="12" t="s">
        <v>231</v>
      </c>
      <c r="E63" s="11">
        <v>23964</v>
      </c>
      <c r="F63" s="173">
        <v>28.9</v>
      </c>
      <c r="G63" s="73" t="s">
        <v>232</v>
      </c>
      <c r="H63" s="11">
        <v>5788</v>
      </c>
      <c r="I63" s="14">
        <f>H63/60/60</f>
        <v>1.6077777777777778</v>
      </c>
      <c r="J63" s="168">
        <f>6782/60/60</f>
        <v>1.8838888888888889</v>
      </c>
    </row>
    <row r="64" spans="1:10" x14ac:dyDescent="0.25">
      <c r="A64" s="24">
        <v>64</v>
      </c>
      <c r="B64" s="10">
        <v>0.25</v>
      </c>
      <c r="C64" s="11" t="s">
        <v>233</v>
      </c>
      <c r="D64" s="12" t="s">
        <v>236</v>
      </c>
      <c r="E64" s="11">
        <v>26238</v>
      </c>
      <c r="F64" s="173">
        <v>20.399999999999999</v>
      </c>
      <c r="G64" s="73" t="s">
        <v>228</v>
      </c>
      <c r="H64" s="11">
        <v>4892</v>
      </c>
      <c r="I64" s="14">
        <f>H64/60/60</f>
        <v>1.3588888888888888</v>
      </c>
      <c r="J64" s="166"/>
    </row>
    <row r="65" spans="1:10" x14ac:dyDescent="0.25">
      <c r="A65" s="9">
        <v>65</v>
      </c>
      <c r="B65" s="46">
        <v>0.375</v>
      </c>
      <c r="C65" s="11" t="s">
        <v>235</v>
      </c>
      <c r="D65" s="12" t="s">
        <v>238</v>
      </c>
      <c r="E65" s="11">
        <v>26299</v>
      </c>
      <c r="F65" s="173">
        <v>20.2</v>
      </c>
      <c r="G65" s="13" t="s">
        <v>239</v>
      </c>
      <c r="H65" s="11">
        <v>6066</v>
      </c>
      <c r="I65" s="14">
        <f t="shared" ref="I65:I96" si="2">H65/60/60</f>
        <v>1.6849999999999998</v>
      </c>
      <c r="J65" s="168">
        <f>6782/60/60</f>
        <v>1.8838888888888889</v>
      </c>
    </row>
    <row r="66" spans="1:10" x14ac:dyDescent="0.25">
      <c r="A66" s="9">
        <v>66</v>
      </c>
      <c r="B66" s="46">
        <v>0.5</v>
      </c>
      <c r="C66" s="11" t="s">
        <v>237</v>
      </c>
      <c r="D66" s="12" t="s">
        <v>240</v>
      </c>
      <c r="E66" s="11">
        <v>25419</v>
      </c>
      <c r="F66" s="173">
        <v>23</v>
      </c>
      <c r="G66" s="13" t="s">
        <v>241</v>
      </c>
      <c r="H66" s="11">
        <v>4800</v>
      </c>
      <c r="I66" s="14">
        <f t="shared" si="2"/>
        <v>1.3333333333333333</v>
      </c>
      <c r="J66" s="166"/>
    </row>
    <row r="67" spans="1:10" x14ac:dyDescent="0.25">
      <c r="A67" s="24">
        <v>67</v>
      </c>
      <c r="B67" s="46">
        <v>0.625</v>
      </c>
      <c r="C67" s="40" t="s">
        <v>243</v>
      </c>
      <c r="D67" s="47" t="s">
        <v>247</v>
      </c>
      <c r="E67" s="40">
        <v>24776</v>
      </c>
      <c r="F67" s="175">
        <v>25.3</v>
      </c>
      <c r="G67" s="48" t="s">
        <v>248</v>
      </c>
      <c r="H67" s="40">
        <v>5066</v>
      </c>
      <c r="I67" s="14">
        <f t="shared" si="2"/>
        <v>1.4072222222222224</v>
      </c>
      <c r="J67" s="168">
        <f>6090/60/60</f>
        <v>1.6916666666666667</v>
      </c>
    </row>
    <row r="68" spans="1:10" x14ac:dyDescent="0.25">
      <c r="A68" s="24">
        <v>68</v>
      </c>
      <c r="B68" s="46">
        <v>0.75</v>
      </c>
      <c r="C68" s="40" t="s">
        <v>249</v>
      </c>
      <c r="D68" s="47" t="s">
        <v>255</v>
      </c>
      <c r="E68" s="40">
        <v>25436</v>
      </c>
      <c r="F68" s="175">
        <v>23</v>
      </c>
      <c r="G68" s="48" t="s">
        <v>284</v>
      </c>
      <c r="H68" s="40">
        <v>4872</v>
      </c>
      <c r="I68" s="14">
        <f t="shared" si="2"/>
        <v>1.3533333333333333</v>
      </c>
      <c r="J68" s="168">
        <f>5968/60/60</f>
        <v>1.6577777777777778</v>
      </c>
    </row>
    <row r="69" spans="1:10" x14ac:dyDescent="0.25">
      <c r="A69" s="24">
        <v>69</v>
      </c>
      <c r="B69" s="46">
        <v>0.875</v>
      </c>
      <c r="C69" s="11" t="s">
        <v>282</v>
      </c>
      <c r="D69" s="47" t="s">
        <v>287</v>
      </c>
      <c r="E69" s="40">
        <v>25907</v>
      </c>
      <c r="F69" s="175">
        <v>21.3</v>
      </c>
      <c r="G69" s="48" t="s">
        <v>288</v>
      </c>
      <c r="H69" s="40">
        <v>4624</v>
      </c>
      <c r="I69" s="14">
        <f t="shared" si="2"/>
        <v>1.2844444444444443</v>
      </c>
      <c r="J69" s="168">
        <f>5534/60/60</f>
        <v>1.5372222222222223</v>
      </c>
    </row>
    <row r="70" spans="1:10" x14ac:dyDescent="0.25">
      <c r="A70" s="24">
        <v>70</v>
      </c>
      <c r="B70" s="46">
        <v>0</v>
      </c>
      <c r="C70" s="40" t="s">
        <v>289</v>
      </c>
      <c r="D70" s="47" t="s">
        <v>306</v>
      </c>
      <c r="E70" s="40">
        <v>22985</v>
      </c>
      <c r="F70" s="175">
        <v>33.799999999999997</v>
      </c>
      <c r="G70" s="48" t="s">
        <v>308</v>
      </c>
      <c r="H70" s="40">
        <v>4746</v>
      </c>
      <c r="I70" s="49">
        <f t="shared" si="2"/>
        <v>1.3183333333333331</v>
      </c>
      <c r="J70" s="168">
        <f>6100/60/60</f>
        <v>1.6944444444444444</v>
      </c>
    </row>
    <row r="71" spans="1:10" x14ac:dyDescent="0.25">
      <c r="A71" s="24">
        <v>71</v>
      </c>
      <c r="B71" s="46">
        <v>0.125</v>
      </c>
      <c r="C71" s="40" t="s">
        <v>282</v>
      </c>
      <c r="D71" s="47" t="s">
        <v>310</v>
      </c>
      <c r="E71" s="40">
        <v>24077</v>
      </c>
      <c r="F71" s="175">
        <v>28.4</v>
      </c>
      <c r="G71" s="48" t="s">
        <v>311</v>
      </c>
      <c r="H71" s="40">
        <v>4026</v>
      </c>
      <c r="I71" s="49">
        <f t="shared" si="2"/>
        <v>1.1183333333333332</v>
      </c>
      <c r="J71" s="168">
        <f>5282/60/60</f>
        <v>1.4672222222222222</v>
      </c>
    </row>
    <row r="72" spans="1:10" x14ac:dyDescent="0.25">
      <c r="A72" s="24">
        <v>72</v>
      </c>
      <c r="B72" s="46">
        <v>0.25</v>
      </c>
      <c r="C72" s="40" t="s">
        <v>312</v>
      </c>
      <c r="D72" s="47" t="s">
        <v>314</v>
      </c>
      <c r="E72" s="40">
        <v>19135</v>
      </c>
      <c r="F72" s="175">
        <v>64.7</v>
      </c>
      <c r="G72" s="48" t="s">
        <v>315</v>
      </c>
      <c r="H72" s="40">
        <v>4116</v>
      </c>
      <c r="I72" s="49">
        <f t="shared" si="2"/>
        <v>1.1433333333333333</v>
      </c>
      <c r="J72" s="168"/>
    </row>
    <row r="73" spans="1:10" x14ac:dyDescent="0.25">
      <c r="A73" s="24">
        <v>73</v>
      </c>
      <c r="B73" s="46">
        <v>0.375</v>
      </c>
      <c r="C73" s="40" t="s">
        <v>316</v>
      </c>
      <c r="D73" s="47" t="s">
        <v>318</v>
      </c>
      <c r="E73" s="40">
        <v>24332</v>
      </c>
      <c r="F73" s="175">
        <v>27.4</v>
      </c>
      <c r="G73" s="48" t="s">
        <v>284</v>
      </c>
      <c r="H73" s="40">
        <v>4684</v>
      </c>
      <c r="I73" s="49">
        <f t="shared" si="2"/>
        <v>1.3011111111111111</v>
      </c>
      <c r="J73" s="168"/>
    </row>
    <row r="74" spans="1:10" x14ac:dyDescent="0.25">
      <c r="A74" s="24">
        <v>74</v>
      </c>
      <c r="B74" s="46">
        <v>0.5</v>
      </c>
      <c r="C74" s="40" t="s">
        <v>319</v>
      </c>
      <c r="D74" s="47" t="s">
        <v>320</v>
      </c>
      <c r="E74" s="40">
        <v>19454</v>
      </c>
      <c r="F74" s="175">
        <v>60.8</v>
      </c>
      <c r="G74" s="48" t="s">
        <v>241</v>
      </c>
      <c r="H74" s="40">
        <v>3654</v>
      </c>
      <c r="I74" s="49">
        <f t="shared" si="2"/>
        <v>1.0149999999999999</v>
      </c>
      <c r="J74" s="168"/>
    </row>
    <row r="75" spans="1:10" x14ac:dyDescent="0.25">
      <c r="A75" s="24">
        <v>75</v>
      </c>
      <c r="B75" s="46">
        <v>0.625</v>
      </c>
      <c r="C75" s="40" t="s">
        <v>316</v>
      </c>
      <c r="D75" s="47" t="s">
        <v>325</v>
      </c>
      <c r="E75" s="40">
        <v>26799</v>
      </c>
      <c r="F75" s="175">
        <v>18.5</v>
      </c>
      <c r="G75" s="48" t="s">
        <v>284</v>
      </c>
      <c r="H75" s="40">
        <v>5120</v>
      </c>
      <c r="I75" s="49">
        <f t="shared" si="2"/>
        <v>1.4222222222222221</v>
      </c>
      <c r="J75" s="168">
        <f>6318/60/60</f>
        <v>1.7549999999999999</v>
      </c>
    </row>
    <row r="76" spans="1:10" x14ac:dyDescent="0.25">
      <c r="A76" s="24">
        <v>76</v>
      </c>
      <c r="B76" s="46">
        <v>0.75</v>
      </c>
      <c r="C76" s="40" t="s">
        <v>329</v>
      </c>
      <c r="D76" s="47" t="s">
        <v>334</v>
      </c>
      <c r="E76" s="40">
        <v>24682</v>
      </c>
      <c r="F76" s="175">
        <v>26</v>
      </c>
      <c r="G76" s="48" t="s">
        <v>335</v>
      </c>
      <c r="H76" s="40">
        <v>4452</v>
      </c>
      <c r="I76" s="49">
        <f t="shared" si="2"/>
        <v>1.2366666666666668</v>
      </c>
      <c r="J76" s="168">
        <f>5512/60/60</f>
        <v>1.5311111111111111</v>
      </c>
    </row>
    <row r="77" spans="1:10" x14ac:dyDescent="0.25">
      <c r="A77" s="24">
        <v>77</v>
      </c>
      <c r="B77" s="46">
        <v>0.875</v>
      </c>
      <c r="C77" s="40" t="s">
        <v>336</v>
      </c>
      <c r="D77" s="47" t="s">
        <v>338</v>
      </c>
      <c r="E77" s="40">
        <v>28250</v>
      </c>
      <c r="F77" s="175">
        <v>14.9</v>
      </c>
      <c r="G77" s="48" t="s">
        <v>98</v>
      </c>
      <c r="H77" s="40">
        <v>6358</v>
      </c>
      <c r="I77" s="49">
        <f t="shared" si="2"/>
        <v>1.7661111111111112</v>
      </c>
      <c r="J77" s="168">
        <f>7046/60/60</f>
        <v>1.9572222222222222</v>
      </c>
    </row>
    <row r="78" spans="1:10" x14ac:dyDescent="0.25">
      <c r="A78" s="24">
        <v>78</v>
      </c>
      <c r="B78" s="46">
        <v>0</v>
      </c>
      <c r="C78" s="40" t="s">
        <v>339</v>
      </c>
      <c r="D78" s="47" t="s">
        <v>343</v>
      </c>
      <c r="E78" s="40">
        <v>26356</v>
      </c>
      <c r="F78" s="175">
        <v>19.899999999999999</v>
      </c>
      <c r="G78" s="48" t="s">
        <v>344</v>
      </c>
      <c r="H78" s="40">
        <v>5010</v>
      </c>
      <c r="I78" s="49">
        <f t="shared" si="2"/>
        <v>1.3916666666666666</v>
      </c>
      <c r="J78" s="168">
        <f>5964/60/60</f>
        <v>1.6566666666666667</v>
      </c>
    </row>
    <row r="79" spans="1:10" x14ac:dyDescent="0.25">
      <c r="A79" s="24">
        <v>79</v>
      </c>
      <c r="B79" s="46">
        <v>0.125</v>
      </c>
      <c r="C79" s="40" t="s">
        <v>345</v>
      </c>
      <c r="D79" s="47" t="s">
        <v>346</v>
      </c>
      <c r="E79" s="40">
        <v>26734</v>
      </c>
      <c r="F79" s="175">
        <v>18.8</v>
      </c>
      <c r="G79" s="48" t="s">
        <v>347</v>
      </c>
      <c r="H79" s="40">
        <v>5578</v>
      </c>
      <c r="I79" s="49">
        <f t="shared" si="2"/>
        <v>1.5494444444444444</v>
      </c>
      <c r="J79" s="168">
        <f>6224/60/60</f>
        <v>1.7288888888888889</v>
      </c>
    </row>
    <row r="80" spans="1:10" x14ac:dyDescent="0.25">
      <c r="A80" s="24">
        <v>80</v>
      </c>
      <c r="B80" s="46">
        <v>0.25</v>
      </c>
      <c r="C80" s="40" t="s">
        <v>349</v>
      </c>
      <c r="D80" s="47" t="s">
        <v>350</v>
      </c>
      <c r="E80" s="40">
        <v>19189</v>
      </c>
      <c r="F80" s="175">
        <v>64</v>
      </c>
      <c r="G80" s="48" t="s">
        <v>27</v>
      </c>
      <c r="H80" s="40">
        <v>3846</v>
      </c>
      <c r="I80" s="49">
        <f t="shared" si="2"/>
        <v>1.0683333333333331</v>
      </c>
      <c r="J80" s="168"/>
    </row>
    <row r="81" spans="1:10" x14ac:dyDescent="0.25">
      <c r="A81" s="24">
        <v>81</v>
      </c>
      <c r="B81" s="46">
        <v>0.375</v>
      </c>
      <c r="C81" s="40" t="s">
        <v>351</v>
      </c>
      <c r="D81" s="47" t="s">
        <v>352</v>
      </c>
      <c r="E81" s="40">
        <v>26658</v>
      </c>
      <c r="F81" s="175">
        <v>19.100000000000001</v>
      </c>
      <c r="G81" s="48" t="s">
        <v>284</v>
      </c>
      <c r="H81" s="40">
        <v>5082</v>
      </c>
      <c r="I81" s="49">
        <f t="shared" si="2"/>
        <v>1.4116666666666666</v>
      </c>
      <c r="J81" s="168">
        <f>5464/60/60</f>
        <v>1.5177777777777777</v>
      </c>
    </row>
    <row r="82" spans="1:10" x14ac:dyDescent="0.25">
      <c r="A82" s="24">
        <v>82</v>
      </c>
      <c r="B82" s="46">
        <v>0.5</v>
      </c>
      <c r="C82" s="40" t="s">
        <v>354</v>
      </c>
      <c r="D82" s="47" t="s">
        <v>355</v>
      </c>
      <c r="E82" s="40">
        <v>26786</v>
      </c>
      <c r="F82" s="175">
        <v>18.600000000000001</v>
      </c>
      <c r="G82" s="48" t="s">
        <v>228</v>
      </c>
      <c r="H82" s="40">
        <v>4934</v>
      </c>
      <c r="I82" s="49">
        <f t="shared" si="2"/>
        <v>1.3705555555555555</v>
      </c>
      <c r="J82" s="166"/>
    </row>
    <row r="83" spans="1:10" x14ac:dyDescent="0.25">
      <c r="A83" s="24">
        <v>83</v>
      </c>
      <c r="B83" s="46">
        <v>0.625</v>
      </c>
      <c r="C83" s="40" t="s">
        <v>357</v>
      </c>
      <c r="D83" s="47" t="s">
        <v>358</v>
      </c>
      <c r="E83" s="40">
        <v>24695</v>
      </c>
      <c r="F83" s="175">
        <v>25.8</v>
      </c>
      <c r="G83" s="48" t="s">
        <v>284</v>
      </c>
      <c r="H83" s="40">
        <v>4754</v>
      </c>
      <c r="I83" s="49">
        <f t="shared" si="2"/>
        <v>1.3205555555555555</v>
      </c>
      <c r="J83" s="168">
        <f>6224/60/60</f>
        <v>1.7288888888888889</v>
      </c>
    </row>
    <row r="84" spans="1:10" x14ac:dyDescent="0.25">
      <c r="A84" s="24">
        <v>84</v>
      </c>
      <c r="B84" s="46">
        <v>0.75</v>
      </c>
      <c r="C84" s="40" t="s">
        <v>360</v>
      </c>
      <c r="D84" s="47" t="s">
        <v>361</v>
      </c>
      <c r="E84" s="40">
        <v>27442</v>
      </c>
      <c r="F84" s="175">
        <v>16.899999999999999</v>
      </c>
      <c r="G84" s="48" t="s">
        <v>284</v>
      </c>
      <c r="H84" s="40">
        <v>5258</v>
      </c>
      <c r="I84" s="49">
        <f t="shared" si="2"/>
        <v>1.4605555555555556</v>
      </c>
      <c r="J84" s="168">
        <f>5950/60/60</f>
        <v>1.6527777777777779</v>
      </c>
    </row>
    <row r="85" spans="1:10" x14ac:dyDescent="0.25">
      <c r="A85" s="9">
        <v>85</v>
      </c>
      <c r="B85" s="46">
        <v>0.875</v>
      </c>
      <c r="C85" s="11" t="s">
        <v>363</v>
      </c>
      <c r="D85" s="12" t="s">
        <v>364</v>
      </c>
      <c r="E85" s="11">
        <v>21632</v>
      </c>
      <c r="F85" s="173">
        <v>42.4</v>
      </c>
      <c r="G85" s="13" t="s">
        <v>98</v>
      </c>
      <c r="H85" s="11">
        <v>4888</v>
      </c>
      <c r="I85" s="14">
        <f t="shared" si="2"/>
        <v>1.3577777777777778</v>
      </c>
      <c r="J85" s="168">
        <f>5464/60/60</f>
        <v>1.5177777777777777</v>
      </c>
    </row>
    <row r="86" spans="1:10" x14ac:dyDescent="0.25">
      <c r="A86" s="18">
        <v>86</v>
      </c>
      <c r="B86" s="19">
        <v>0</v>
      </c>
      <c r="C86" s="20" t="s">
        <v>365</v>
      </c>
      <c r="D86" s="21" t="s">
        <v>366</v>
      </c>
      <c r="E86" s="20"/>
      <c r="F86" s="174"/>
      <c r="G86" s="87"/>
      <c r="H86" s="20"/>
      <c r="I86" s="22"/>
      <c r="J86" s="167"/>
    </row>
    <row r="87" spans="1:10" x14ac:dyDescent="0.25">
      <c r="A87" s="9">
        <v>87</v>
      </c>
      <c r="B87" s="46">
        <v>0</v>
      </c>
      <c r="C87" s="11" t="s">
        <v>368</v>
      </c>
      <c r="D87" s="12" t="s">
        <v>369</v>
      </c>
      <c r="E87" s="11">
        <v>17072</v>
      </c>
      <c r="F87" s="173">
        <v>93.3</v>
      </c>
      <c r="G87" s="13" t="s">
        <v>335</v>
      </c>
      <c r="H87" s="11">
        <v>3102</v>
      </c>
      <c r="I87" s="14">
        <f t="shared" si="2"/>
        <v>0.86166666666666669</v>
      </c>
      <c r="J87" s="168">
        <f>3102/60/60</f>
        <v>0.86166666666666669</v>
      </c>
    </row>
    <row r="88" spans="1:10" x14ac:dyDescent="0.25">
      <c r="A88" s="9">
        <v>88</v>
      </c>
      <c r="B88" s="46">
        <v>0.125</v>
      </c>
      <c r="C88" s="11" t="s">
        <v>371</v>
      </c>
      <c r="D88" s="12" t="s">
        <v>372</v>
      </c>
      <c r="E88" s="11">
        <v>26217</v>
      </c>
      <c r="F88" s="173">
        <v>20.3</v>
      </c>
      <c r="G88" s="13" t="s">
        <v>335</v>
      </c>
      <c r="H88" s="11">
        <v>4774</v>
      </c>
      <c r="I88" s="14">
        <f t="shared" si="2"/>
        <v>1.326111111111111</v>
      </c>
      <c r="J88" s="168">
        <f>5760/60/60</f>
        <v>1.6</v>
      </c>
    </row>
    <row r="89" spans="1:10" x14ac:dyDescent="0.25">
      <c r="A89" s="24">
        <v>89</v>
      </c>
      <c r="B89" s="46">
        <v>0.25</v>
      </c>
      <c r="C89" s="11" t="s">
        <v>375</v>
      </c>
      <c r="D89" s="12" t="s">
        <v>376</v>
      </c>
      <c r="E89" s="11">
        <v>27055</v>
      </c>
      <c r="F89" s="173">
        <v>17.899999999999999</v>
      </c>
      <c r="G89" s="13" t="s">
        <v>228</v>
      </c>
      <c r="H89" s="11">
        <v>4990</v>
      </c>
      <c r="I89" s="14">
        <f t="shared" si="2"/>
        <v>1.3861111111111113</v>
      </c>
      <c r="J89" s="166"/>
    </row>
    <row r="90" spans="1:10" x14ac:dyDescent="0.25">
      <c r="A90" s="24">
        <v>90</v>
      </c>
      <c r="B90" s="46">
        <v>0.375</v>
      </c>
      <c r="C90" s="11" t="s">
        <v>377</v>
      </c>
      <c r="D90" s="12" t="s">
        <v>378</v>
      </c>
      <c r="E90" s="11">
        <v>25447</v>
      </c>
      <c r="F90" s="173">
        <v>23</v>
      </c>
      <c r="G90" s="13" t="s">
        <v>288</v>
      </c>
      <c r="H90" s="11">
        <v>4522</v>
      </c>
      <c r="I90" s="14">
        <f t="shared" si="2"/>
        <v>1.256111111111111</v>
      </c>
      <c r="J90" s="166">
        <v>1.59</v>
      </c>
    </row>
    <row r="91" spans="1:10" x14ac:dyDescent="0.25">
      <c r="A91" s="24">
        <v>91</v>
      </c>
      <c r="B91" s="46">
        <v>0.5</v>
      </c>
      <c r="C91" s="11" t="s">
        <v>380</v>
      </c>
      <c r="D91" s="12" t="s">
        <v>381</v>
      </c>
      <c r="E91" s="11">
        <v>24965</v>
      </c>
      <c r="F91" s="173">
        <v>24.7</v>
      </c>
      <c r="G91" s="13" t="s">
        <v>335</v>
      </c>
      <c r="H91" s="11">
        <v>4548</v>
      </c>
      <c r="I91" s="14">
        <f t="shared" si="2"/>
        <v>1.2633333333333332</v>
      </c>
      <c r="J91" s="166"/>
    </row>
    <row r="92" spans="1:10" x14ac:dyDescent="0.25">
      <c r="A92" s="24">
        <v>92</v>
      </c>
      <c r="B92" s="46">
        <v>0.625</v>
      </c>
      <c r="C92" s="11" t="s">
        <v>386</v>
      </c>
      <c r="D92" s="12" t="s">
        <v>387</v>
      </c>
      <c r="E92" s="11">
        <v>21852</v>
      </c>
      <c r="F92" s="173">
        <v>40.6</v>
      </c>
      <c r="G92" s="13" t="s">
        <v>388</v>
      </c>
      <c r="H92" s="11">
        <v>3794</v>
      </c>
      <c r="I92" s="14">
        <f t="shared" si="2"/>
        <v>1.0538888888888889</v>
      </c>
      <c r="J92" s="168">
        <f>4416/60/60</f>
        <v>1.2266666666666666</v>
      </c>
    </row>
    <row r="93" spans="1:10" x14ac:dyDescent="0.25">
      <c r="A93" s="24">
        <v>93</v>
      </c>
      <c r="B93" s="46">
        <v>0.75</v>
      </c>
      <c r="C93" s="11" t="s">
        <v>389</v>
      </c>
      <c r="D93" s="12" t="s">
        <v>390</v>
      </c>
      <c r="E93" s="11">
        <v>9420</v>
      </c>
      <c r="F93" s="173">
        <v>314.7</v>
      </c>
      <c r="G93" s="13" t="s">
        <v>98</v>
      </c>
      <c r="H93" s="11">
        <v>2134</v>
      </c>
      <c r="I93" s="14">
        <f t="shared" si="2"/>
        <v>0.59277777777777785</v>
      </c>
      <c r="J93" s="168">
        <f>2180/60/60</f>
        <v>0.60555555555555562</v>
      </c>
    </row>
    <row r="94" spans="1:10" x14ac:dyDescent="0.25">
      <c r="A94" s="24">
        <v>94</v>
      </c>
      <c r="B94" s="46">
        <v>0.875</v>
      </c>
      <c r="C94" s="11" t="s">
        <v>393</v>
      </c>
      <c r="D94" s="12" t="s">
        <v>394</v>
      </c>
      <c r="E94" s="11">
        <v>10181</v>
      </c>
      <c r="F94" s="173">
        <v>283.5</v>
      </c>
      <c r="G94" s="13" t="s">
        <v>27</v>
      </c>
      <c r="H94" s="11">
        <v>1992</v>
      </c>
      <c r="I94" s="14">
        <f t="shared" si="2"/>
        <v>0.55333333333333334</v>
      </c>
      <c r="J94" s="168">
        <f>2984/60/60</f>
        <v>0.8288888888888889</v>
      </c>
    </row>
    <row r="95" spans="1:10" x14ac:dyDescent="0.25">
      <c r="A95" s="24">
        <v>95</v>
      </c>
      <c r="B95" s="46">
        <v>0</v>
      </c>
      <c r="C95" s="11" t="s">
        <v>395</v>
      </c>
      <c r="D95" s="12" t="s">
        <v>396</v>
      </c>
      <c r="E95" s="11">
        <v>26898</v>
      </c>
      <c r="F95" s="173">
        <v>18.3</v>
      </c>
      <c r="G95" s="13" t="s">
        <v>284</v>
      </c>
      <c r="H95" s="11">
        <v>5088</v>
      </c>
      <c r="I95" s="14">
        <f t="shared" si="2"/>
        <v>1.4133333333333333</v>
      </c>
      <c r="J95" s="168">
        <f>5762/60/60</f>
        <v>1.6005555555555555</v>
      </c>
    </row>
    <row r="96" spans="1:10" x14ac:dyDescent="0.25">
      <c r="A96" s="24">
        <v>96</v>
      </c>
      <c r="B96" s="46">
        <v>0.125</v>
      </c>
      <c r="C96" s="11" t="s">
        <v>398</v>
      </c>
      <c r="D96" s="12" t="s">
        <v>399</v>
      </c>
      <c r="E96" s="11">
        <v>25769</v>
      </c>
      <c r="F96" s="173">
        <v>21.8</v>
      </c>
      <c r="G96" s="13" t="s">
        <v>400</v>
      </c>
      <c r="H96" s="11">
        <v>5196</v>
      </c>
      <c r="I96" s="14">
        <f t="shared" si="2"/>
        <v>1.4433333333333331</v>
      </c>
      <c r="J96" s="168">
        <f>6066/60/60</f>
        <v>1.6849999999999998</v>
      </c>
    </row>
    <row r="97" spans="1:10" x14ac:dyDescent="0.25">
      <c r="A97" s="9">
        <v>97</v>
      </c>
      <c r="B97" s="46">
        <v>0.25</v>
      </c>
      <c r="C97" s="11" t="s">
        <v>401</v>
      </c>
      <c r="D97" s="12" t="s">
        <v>402</v>
      </c>
      <c r="E97" s="11">
        <v>17562</v>
      </c>
      <c r="F97" s="173">
        <v>85.6</v>
      </c>
      <c r="G97" s="13" t="s">
        <v>27</v>
      </c>
      <c r="H97" s="11">
        <v>3520</v>
      </c>
      <c r="I97" s="14">
        <f>H97/3600</f>
        <v>0.97777777777777775</v>
      </c>
      <c r="J97" s="168"/>
    </row>
    <row r="98" spans="1:10" x14ac:dyDescent="0.25">
      <c r="A98" s="24">
        <v>98</v>
      </c>
      <c r="B98" s="46">
        <v>0.375</v>
      </c>
      <c r="C98" s="11" t="s">
        <v>403</v>
      </c>
      <c r="D98" s="12" t="s">
        <v>404</v>
      </c>
      <c r="E98" s="11">
        <v>25697</v>
      </c>
      <c r="F98" s="173">
        <v>22.1</v>
      </c>
      <c r="G98" s="13" t="s">
        <v>405</v>
      </c>
      <c r="H98" s="11">
        <v>5296</v>
      </c>
      <c r="I98" s="14">
        <f t="shared" ref="I98:I128" si="3">H98/3600</f>
        <v>1.471111111111111</v>
      </c>
      <c r="J98" s="166"/>
    </row>
    <row r="99" spans="1:10" x14ac:dyDescent="0.25">
      <c r="A99" s="24">
        <v>99</v>
      </c>
      <c r="B99" s="46">
        <v>0.5</v>
      </c>
      <c r="C99" s="40" t="s">
        <v>406</v>
      </c>
      <c r="D99" s="47" t="s">
        <v>407</v>
      </c>
      <c r="E99" s="40">
        <v>18310</v>
      </c>
      <c r="F99" s="175">
        <v>74.599999999999994</v>
      </c>
      <c r="G99" s="48" t="s">
        <v>408</v>
      </c>
      <c r="H99" s="40">
        <v>3982</v>
      </c>
      <c r="I99" s="14">
        <f t="shared" si="3"/>
        <v>1.106111111111111</v>
      </c>
      <c r="J99" s="166"/>
    </row>
    <row r="100" spans="1:10" x14ac:dyDescent="0.25">
      <c r="A100" s="24">
        <v>100</v>
      </c>
      <c r="B100" s="46">
        <v>0.625</v>
      </c>
      <c r="C100" s="40" t="s">
        <v>410</v>
      </c>
      <c r="D100" s="47" t="s">
        <v>411</v>
      </c>
      <c r="E100" s="40">
        <v>27574</v>
      </c>
      <c r="F100" s="175">
        <v>16.399999999999999</v>
      </c>
      <c r="G100" s="48" t="s">
        <v>413</v>
      </c>
      <c r="H100" s="40">
        <v>6080</v>
      </c>
      <c r="I100" s="14">
        <f t="shared" si="3"/>
        <v>1.6888888888888889</v>
      </c>
      <c r="J100" s="168">
        <f>7372/60/60</f>
        <v>2.0477777777777777</v>
      </c>
    </row>
    <row r="101" spans="1:10" x14ac:dyDescent="0.25">
      <c r="A101" s="24">
        <v>101</v>
      </c>
      <c r="B101" s="46">
        <v>0.75</v>
      </c>
      <c r="C101" s="11" t="s">
        <v>414</v>
      </c>
      <c r="D101" s="47" t="s">
        <v>415</v>
      </c>
      <c r="E101" s="40">
        <v>25456</v>
      </c>
      <c r="F101" s="175">
        <v>23</v>
      </c>
      <c r="G101" s="48" t="s">
        <v>418</v>
      </c>
      <c r="H101" s="40">
        <v>4364</v>
      </c>
      <c r="I101" s="14">
        <f t="shared" si="3"/>
        <v>1.2122222222222223</v>
      </c>
      <c r="J101" s="168">
        <f>4996/60/60</f>
        <v>1.3877777777777778</v>
      </c>
    </row>
    <row r="102" spans="1:10" x14ac:dyDescent="0.25">
      <c r="A102" s="24">
        <v>102</v>
      </c>
      <c r="B102" s="46">
        <v>0.875</v>
      </c>
      <c r="C102" s="40" t="s">
        <v>419</v>
      </c>
      <c r="D102" s="47" t="s">
        <v>420</v>
      </c>
      <c r="E102" s="40">
        <v>29108</v>
      </c>
      <c r="F102" s="175">
        <v>13</v>
      </c>
      <c r="G102" s="48" t="s">
        <v>422</v>
      </c>
      <c r="H102" s="40">
        <v>5630</v>
      </c>
      <c r="I102" s="14">
        <f t="shared" si="3"/>
        <v>1.5638888888888889</v>
      </c>
      <c r="J102" s="168">
        <f>6528/60/60</f>
        <v>1.8133333333333332</v>
      </c>
    </row>
    <row r="103" spans="1:10" x14ac:dyDescent="0.25">
      <c r="A103" s="24">
        <v>103</v>
      </c>
      <c r="B103" s="46">
        <v>0</v>
      </c>
      <c r="C103" s="40" t="s">
        <v>423</v>
      </c>
      <c r="D103" s="47" t="s">
        <v>424</v>
      </c>
      <c r="E103" s="40">
        <v>26118</v>
      </c>
      <c r="F103" s="175">
        <v>20.6</v>
      </c>
      <c r="G103" s="48" t="s">
        <v>288</v>
      </c>
      <c r="H103" s="40">
        <v>4622</v>
      </c>
      <c r="I103" s="14">
        <f t="shared" si="3"/>
        <v>1.2838888888888889</v>
      </c>
      <c r="J103" s="168">
        <f>5650/60/60</f>
        <v>1.5694444444444444</v>
      </c>
    </row>
    <row r="104" spans="1:10" x14ac:dyDescent="0.25">
      <c r="A104" s="24">
        <v>104</v>
      </c>
      <c r="B104" s="46">
        <v>0.125</v>
      </c>
      <c r="C104" s="40" t="s">
        <v>425</v>
      </c>
      <c r="D104" s="47" t="s">
        <v>428</v>
      </c>
      <c r="E104" s="40">
        <v>19514</v>
      </c>
      <c r="F104" s="175">
        <v>60.6</v>
      </c>
      <c r="G104" s="48" t="s">
        <v>429</v>
      </c>
      <c r="H104" s="40">
        <v>5496</v>
      </c>
      <c r="I104" s="14">
        <f t="shared" si="3"/>
        <v>1.5266666666666666</v>
      </c>
      <c r="J104" s="168"/>
    </row>
    <row r="105" spans="1:10" x14ac:dyDescent="0.25">
      <c r="A105" s="24">
        <v>105</v>
      </c>
      <c r="B105" s="46">
        <v>0.25</v>
      </c>
      <c r="C105" s="40" t="s">
        <v>430</v>
      </c>
      <c r="D105" s="47" t="s">
        <v>431</v>
      </c>
      <c r="E105" s="40">
        <v>26047</v>
      </c>
      <c r="F105" s="175">
        <v>20.9</v>
      </c>
      <c r="G105" s="48" t="s">
        <v>241</v>
      </c>
      <c r="H105" s="40">
        <v>4958</v>
      </c>
      <c r="I105" s="14">
        <f t="shared" si="3"/>
        <v>1.3772222222222221</v>
      </c>
      <c r="J105" s="168"/>
    </row>
    <row r="106" spans="1:10" x14ac:dyDescent="0.25">
      <c r="A106" s="24">
        <v>106</v>
      </c>
      <c r="B106" s="46">
        <v>0.375</v>
      </c>
      <c r="C106" s="40" t="s">
        <v>433</v>
      </c>
      <c r="D106" s="47" t="s">
        <v>434</v>
      </c>
      <c r="E106" s="40">
        <v>24908</v>
      </c>
      <c r="F106" s="175">
        <v>25</v>
      </c>
      <c r="G106" s="48" t="s">
        <v>228</v>
      </c>
      <c r="H106" s="40">
        <v>4646</v>
      </c>
      <c r="I106" s="14">
        <f t="shared" si="3"/>
        <v>1.2905555555555555</v>
      </c>
      <c r="J106" s="168"/>
    </row>
    <row r="107" spans="1:10" x14ac:dyDescent="0.25">
      <c r="A107" s="24">
        <v>107</v>
      </c>
      <c r="B107" s="46">
        <v>0.5</v>
      </c>
      <c r="C107" s="40" t="s">
        <v>435</v>
      </c>
      <c r="D107" s="47" t="s">
        <v>436</v>
      </c>
      <c r="E107" s="40">
        <v>17766</v>
      </c>
      <c r="F107" s="175">
        <v>82.2</v>
      </c>
      <c r="G107" s="48" t="s">
        <v>422</v>
      </c>
      <c r="H107" s="40">
        <v>3498</v>
      </c>
      <c r="I107" s="14">
        <f t="shared" si="3"/>
        <v>0.97166666666666668</v>
      </c>
      <c r="J107" s="168"/>
    </row>
    <row r="108" spans="1:10" x14ac:dyDescent="0.25">
      <c r="A108" s="24">
        <v>108</v>
      </c>
      <c r="B108" s="46">
        <v>0.625</v>
      </c>
      <c r="C108" s="40" t="s">
        <v>437</v>
      </c>
      <c r="D108" s="47" t="s">
        <v>438</v>
      </c>
      <c r="E108" s="40">
        <v>26221</v>
      </c>
      <c r="F108" s="175">
        <v>20.2</v>
      </c>
      <c r="G108" s="48" t="s">
        <v>439</v>
      </c>
      <c r="H108" s="40">
        <v>4604</v>
      </c>
      <c r="I108" s="14">
        <f t="shared" si="3"/>
        <v>1.278888888888889</v>
      </c>
      <c r="J108" s="166"/>
    </row>
    <row r="109" spans="1:10" x14ac:dyDescent="0.25">
      <c r="A109" s="24">
        <v>109</v>
      </c>
      <c r="B109" s="46">
        <v>0.75</v>
      </c>
      <c r="C109" s="40" t="s">
        <v>440</v>
      </c>
      <c r="D109" s="47" t="s">
        <v>442</v>
      </c>
      <c r="E109" s="40">
        <v>26469</v>
      </c>
      <c r="F109" s="175">
        <v>19.399999999999999</v>
      </c>
      <c r="G109" s="48" t="s">
        <v>284</v>
      </c>
      <c r="H109" s="40">
        <v>5066</v>
      </c>
      <c r="I109" s="14">
        <f t="shared" si="3"/>
        <v>1.4072222222222222</v>
      </c>
      <c r="J109" s="168">
        <f>5712/60/60</f>
        <v>1.5866666666666667</v>
      </c>
    </row>
    <row r="110" spans="1:10" x14ac:dyDescent="0.25">
      <c r="A110" s="24">
        <v>110</v>
      </c>
      <c r="B110" s="46">
        <v>0.875</v>
      </c>
      <c r="C110" s="40" t="s">
        <v>444</v>
      </c>
      <c r="D110" s="47" t="s">
        <v>445</v>
      </c>
      <c r="E110" s="40">
        <v>27260</v>
      </c>
      <c r="F110" s="175">
        <v>17.2</v>
      </c>
      <c r="G110" s="48" t="s">
        <v>98</v>
      </c>
      <c r="H110" s="40">
        <v>6170</v>
      </c>
      <c r="I110" s="14">
        <f t="shared" si="3"/>
        <v>1.7138888888888888</v>
      </c>
      <c r="J110" s="168"/>
    </row>
    <row r="111" spans="1:10" x14ac:dyDescent="0.25">
      <c r="A111" s="24">
        <v>111</v>
      </c>
      <c r="B111" s="46">
        <v>0</v>
      </c>
      <c r="C111" s="40" t="s">
        <v>448</v>
      </c>
      <c r="D111" s="47" t="s">
        <v>446</v>
      </c>
      <c r="E111" s="40">
        <v>25940</v>
      </c>
      <c r="F111" s="175">
        <v>21.1</v>
      </c>
      <c r="G111" s="48" t="s">
        <v>447</v>
      </c>
      <c r="H111" s="40">
        <v>5226</v>
      </c>
      <c r="I111" s="14">
        <f t="shared" si="3"/>
        <v>1.4516666666666667</v>
      </c>
      <c r="J111" s="168">
        <f>5942/60/60</f>
        <v>1.6505555555555556</v>
      </c>
    </row>
    <row r="112" spans="1:10" x14ac:dyDescent="0.25">
      <c r="A112" s="24">
        <v>112</v>
      </c>
      <c r="B112" s="46">
        <v>0.125</v>
      </c>
      <c r="C112" s="40" t="s">
        <v>449</v>
      </c>
      <c r="D112" s="47" t="s">
        <v>450</v>
      </c>
      <c r="E112" s="40">
        <v>16995</v>
      </c>
      <c r="F112" s="175">
        <v>95.1</v>
      </c>
      <c r="G112" s="48" t="s">
        <v>451</v>
      </c>
      <c r="H112" s="40">
        <v>2538</v>
      </c>
      <c r="I112" s="14">
        <f t="shared" si="3"/>
        <v>0.70499999999999996</v>
      </c>
      <c r="J112" s="168"/>
    </row>
    <row r="113" spans="1:10" x14ac:dyDescent="0.25">
      <c r="A113" s="24">
        <v>113</v>
      </c>
      <c r="B113" s="46">
        <v>0.25</v>
      </c>
      <c r="C113" s="40" t="s">
        <v>453</v>
      </c>
      <c r="D113" s="47" t="s">
        <v>454</v>
      </c>
      <c r="E113" s="40">
        <v>26112</v>
      </c>
      <c r="F113" s="175">
        <v>20.6</v>
      </c>
      <c r="G113" s="48" t="s">
        <v>413</v>
      </c>
      <c r="H113" s="40">
        <v>5786</v>
      </c>
      <c r="I113" s="14">
        <f t="shared" si="3"/>
        <v>1.6072222222222223</v>
      </c>
      <c r="J113" s="168"/>
    </row>
    <row r="114" spans="1:10" x14ac:dyDescent="0.25">
      <c r="A114" s="24">
        <v>114</v>
      </c>
      <c r="B114" s="46">
        <v>0.375</v>
      </c>
      <c r="C114" s="40" t="s">
        <v>440</v>
      </c>
      <c r="D114" s="47" t="s">
        <v>456</v>
      </c>
      <c r="E114" s="40">
        <v>26775</v>
      </c>
      <c r="F114" s="175">
        <v>18.600000000000001</v>
      </c>
      <c r="G114" s="48" t="s">
        <v>422</v>
      </c>
      <c r="H114" s="40">
        <v>5292</v>
      </c>
      <c r="I114" s="14">
        <f t="shared" si="3"/>
        <v>1.47</v>
      </c>
      <c r="J114" s="166"/>
    </row>
    <row r="115" spans="1:10" x14ac:dyDescent="0.25">
      <c r="A115" s="24">
        <v>115</v>
      </c>
      <c r="B115" s="46">
        <v>0.5</v>
      </c>
      <c r="C115" s="40" t="s">
        <v>457</v>
      </c>
      <c r="D115" s="47" t="s">
        <v>458</v>
      </c>
      <c r="E115" s="40">
        <v>25140</v>
      </c>
      <c r="F115" s="175">
        <v>24</v>
      </c>
      <c r="G115" s="48" t="s">
        <v>459</v>
      </c>
      <c r="H115" s="40">
        <v>5276</v>
      </c>
      <c r="I115" s="14">
        <f t="shared" si="3"/>
        <v>1.4655555555555555</v>
      </c>
      <c r="J115" s="168"/>
    </row>
    <row r="116" spans="1:10" x14ac:dyDescent="0.25">
      <c r="A116" s="9">
        <v>116</v>
      </c>
      <c r="B116" s="46">
        <v>0.625</v>
      </c>
      <c r="C116" s="40" t="s">
        <v>461</v>
      </c>
      <c r="D116" s="47" t="s">
        <v>462</v>
      </c>
      <c r="E116" s="40">
        <v>26973</v>
      </c>
      <c r="F116" s="175">
        <v>17.899999999999999</v>
      </c>
      <c r="G116" s="48" t="s">
        <v>27</v>
      </c>
      <c r="H116" s="40">
        <v>5382</v>
      </c>
      <c r="I116" s="14">
        <f t="shared" si="3"/>
        <v>1.4950000000000001</v>
      </c>
      <c r="J116" s="168"/>
    </row>
    <row r="117" spans="1:10" x14ac:dyDescent="0.25">
      <c r="A117" s="9">
        <v>117</v>
      </c>
      <c r="B117" s="46">
        <v>0.75</v>
      </c>
      <c r="C117" s="11" t="s">
        <v>463</v>
      </c>
      <c r="D117" s="12" t="s">
        <v>464</v>
      </c>
      <c r="E117" s="11">
        <v>27003</v>
      </c>
      <c r="F117" s="173">
        <v>17.899999999999999</v>
      </c>
      <c r="G117" s="13" t="s">
        <v>241</v>
      </c>
      <c r="H117" s="11">
        <v>5064</v>
      </c>
      <c r="I117" s="14">
        <f t="shared" si="3"/>
        <v>1.4066666666666667</v>
      </c>
      <c r="J117" s="168">
        <f>5670/60/60</f>
        <v>1.575</v>
      </c>
    </row>
    <row r="118" spans="1:10" x14ac:dyDescent="0.25">
      <c r="A118" s="9">
        <v>118</v>
      </c>
      <c r="B118" s="46">
        <v>0.875</v>
      </c>
      <c r="C118" s="40" t="s">
        <v>467</v>
      </c>
      <c r="D118" s="47" t="s">
        <v>468</v>
      </c>
      <c r="E118" s="11">
        <v>28314</v>
      </c>
      <c r="F118" s="173">
        <v>14.6</v>
      </c>
      <c r="G118" s="13" t="s">
        <v>469</v>
      </c>
      <c r="H118" s="11">
        <v>5972</v>
      </c>
      <c r="I118" s="14">
        <f t="shared" si="3"/>
        <v>1.6588888888888889</v>
      </c>
      <c r="J118" s="168">
        <f>6596/60/60</f>
        <v>1.8322222222222222</v>
      </c>
    </row>
    <row r="119" spans="1:10" x14ac:dyDescent="0.25">
      <c r="A119" s="9">
        <v>119</v>
      </c>
      <c r="B119" s="46">
        <v>0</v>
      </c>
      <c r="C119" s="11" t="s">
        <v>470</v>
      </c>
      <c r="D119" s="12" t="s">
        <v>471</v>
      </c>
      <c r="E119" s="11">
        <v>26803</v>
      </c>
      <c r="F119" s="173">
        <v>18.399999999999999</v>
      </c>
      <c r="G119" s="13" t="s">
        <v>284</v>
      </c>
      <c r="H119" s="11">
        <v>5088</v>
      </c>
      <c r="I119" s="14">
        <f t="shared" si="3"/>
        <v>1.4133333333333333</v>
      </c>
      <c r="J119" s="168">
        <f>5722/60/60</f>
        <v>1.5894444444444444</v>
      </c>
    </row>
    <row r="120" spans="1:10" x14ac:dyDescent="0.25">
      <c r="A120" s="24">
        <v>120</v>
      </c>
      <c r="B120" s="46">
        <v>0.125</v>
      </c>
      <c r="C120" s="11" t="s">
        <v>472</v>
      </c>
      <c r="D120" s="12" t="s">
        <v>474</v>
      </c>
      <c r="E120" s="11">
        <v>26945</v>
      </c>
      <c r="F120" s="173">
        <v>18.100000000000001</v>
      </c>
      <c r="G120" s="13" t="s">
        <v>477</v>
      </c>
      <c r="H120" s="11">
        <v>5512</v>
      </c>
      <c r="I120" s="14">
        <f t="shared" si="3"/>
        <v>1.5311111111111111</v>
      </c>
      <c r="J120" s="168">
        <f>6586/60/60</f>
        <v>1.8294444444444444</v>
      </c>
    </row>
    <row r="121" spans="1:10" x14ac:dyDescent="0.25">
      <c r="A121" s="24">
        <v>121</v>
      </c>
      <c r="B121" s="46">
        <v>0.25</v>
      </c>
      <c r="C121" s="11" t="s">
        <v>463</v>
      </c>
      <c r="D121" s="12" t="s">
        <v>478</v>
      </c>
      <c r="E121" s="11">
        <v>28334</v>
      </c>
      <c r="F121" s="173">
        <v>14.6</v>
      </c>
      <c r="G121" s="13" t="s">
        <v>413</v>
      </c>
      <c r="H121" s="11">
        <v>6256</v>
      </c>
      <c r="I121" s="14">
        <f t="shared" si="3"/>
        <v>1.7377777777777779</v>
      </c>
      <c r="J121" s="166"/>
    </row>
    <row r="122" spans="1:10" x14ac:dyDescent="0.25">
      <c r="A122" s="24">
        <v>122</v>
      </c>
      <c r="B122" s="46">
        <v>0.375</v>
      </c>
      <c r="C122" s="11" t="s">
        <v>479</v>
      </c>
      <c r="D122" s="12" t="s">
        <v>480</v>
      </c>
      <c r="E122" s="11">
        <v>27592</v>
      </c>
      <c r="F122" s="173">
        <v>16.3</v>
      </c>
      <c r="G122" s="13" t="s">
        <v>408</v>
      </c>
      <c r="H122" s="11">
        <v>5964</v>
      </c>
      <c r="I122" s="14">
        <f t="shared" si="3"/>
        <v>1.6566666666666667</v>
      </c>
      <c r="J122" s="166"/>
    </row>
    <row r="123" spans="1:10" x14ac:dyDescent="0.25">
      <c r="A123" s="24">
        <v>123</v>
      </c>
      <c r="B123" s="46">
        <v>0.5</v>
      </c>
      <c r="C123" s="11" t="s">
        <v>481</v>
      </c>
      <c r="D123" s="12" t="s">
        <v>482</v>
      </c>
      <c r="E123" s="11">
        <v>27400</v>
      </c>
      <c r="F123" s="173">
        <v>16.7</v>
      </c>
      <c r="G123" s="13" t="s">
        <v>408</v>
      </c>
      <c r="H123" s="11">
        <v>5932</v>
      </c>
      <c r="I123" s="14">
        <f t="shared" si="3"/>
        <v>1.6477777777777778</v>
      </c>
      <c r="J123" s="166"/>
    </row>
    <row r="124" spans="1:10" x14ac:dyDescent="0.25">
      <c r="A124" s="24">
        <v>124</v>
      </c>
      <c r="B124" s="46">
        <v>0.625</v>
      </c>
      <c r="C124" s="11" t="s">
        <v>483</v>
      </c>
      <c r="D124" s="12" t="s">
        <v>484</v>
      </c>
      <c r="E124" s="11">
        <v>26738</v>
      </c>
      <c r="F124" s="173">
        <v>18.600000000000001</v>
      </c>
      <c r="G124" s="13" t="s">
        <v>422</v>
      </c>
      <c r="H124" s="11">
        <v>5262</v>
      </c>
      <c r="I124" s="14">
        <f t="shared" si="3"/>
        <v>1.4616666666666667</v>
      </c>
      <c r="J124" s="168">
        <f>5952/60/60</f>
        <v>1.6533333333333333</v>
      </c>
    </row>
    <row r="125" spans="1:10" x14ac:dyDescent="0.25">
      <c r="A125" s="24">
        <v>125</v>
      </c>
      <c r="B125" s="46">
        <v>0.75</v>
      </c>
      <c r="C125" s="11" t="s">
        <v>486</v>
      </c>
      <c r="D125" s="12" t="s">
        <v>487</v>
      </c>
      <c r="E125" s="11">
        <v>26930</v>
      </c>
      <c r="F125" s="173">
        <v>18</v>
      </c>
      <c r="G125" s="13" t="s">
        <v>408</v>
      </c>
      <c r="H125" s="11">
        <v>5842</v>
      </c>
      <c r="I125" s="14">
        <f t="shared" si="3"/>
        <v>1.6227777777777779</v>
      </c>
      <c r="J125" s="168">
        <f>6496/60/60</f>
        <v>1.8044444444444445</v>
      </c>
    </row>
    <row r="126" spans="1:10" x14ac:dyDescent="0.25">
      <c r="A126" s="24">
        <v>126</v>
      </c>
      <c r="B126" s="46">
        <v>0.875</v>
      </c>
      <c r="C126" s="11" t="s">
        <v>488</v>
      </c>
      <c r="D126" s="12" t="s">
        <v>489</v>
      </c>
      <c r="E126" s="11">
        <v>27897</v>
      </c>
      <c r="F126" s="173">
        <v>15.5</v>
      </c>
      <c r="G126" s="13" t="s">
        <v>308</v>
      </c>
      <c r="H126" s="11">
        <v>5804</v>
      </c>
      <c r="I126" s="14">
        <f t="shared" si="3"/>
        <v>1.6122222222222222</v>
      </c>
      <c r="J126" s="168"/>
    </row>
    <row r="127" spans="1:10" x14ac:dyDescent="0.25">
      <c r="A127" s="24">
        <v>127</v>
      </c>
      <c r="B127" s="46">
        <v>0</v>
      </c>
      <c r="C127" s="11" t="s">
        <v>490</v>
      </c>
      <c r="D127" s="12" t="s">
        <v>491</v>
      </c>
      <c r="E127" s="11">
        <v>27725</v>
      </c>
      <c r="F127" s="173">
        <v>15.9</v>
      </c>
      <c r="G127" s="13" t="s">
        <v>469</v>
      </c>
      <c r="H127" s="11">
        <v>5898</v>
      </c>
      <c r="I127" s="14">
        <f t="shared" si="3"/>
        <v>1.6383333333333334</v>
      </c>
      <c r="J127" s="168">
        <f>6924/60/60</f>
        <v>1.9233333333333333</v>
      </c>
    </row>
    <row r="128" spans="1:10" x14ac:dyDescent="0.25">
      <c r="A128" s="24">
        <v>128</v>
      </c>
      <c r="B128" s="46">
        <v>0.125</v>
      </c>
      <c r="C128" s="11" t="s">
        <v>492</v>
      </c>
      <c r="D128" s="12" t="s">
        <v>493</v>
      </c>
      <c r="E128" s="11">
        <v>26307</v>
      </c>
      <c r="F128" s="173">
        <v>19.8</v>
      </c>
      <c r="G128" s="13" t="s">
        <v>422</v>
      </c>
      <c r="H128" s="11">
        <v>5140</v>
      </c>
      <c r="I128" s="14">
        <f t="shared" si="3"/>
        <v>1.4277777777777778</v>
      </c>
      <c r="J128" s="168">
        <f>5760/60/60</f>
        <v>1.6</v>
      </c>
    </row>
    <row r="129" spans="1:10" x14ac:dyDescent="0.25">
      <c r="A129" s="9">
        <v>129</v>
      </c>
      <c r="B129" s="46">
        <v>0.25</v>
      </c>
      <c r="C129" s="11" t="s">
        <v>494</v>
      </c>
      <c r="D129" s="12" t="s">
        <v>495</v>
      </c>
      <c r="E129" s="11">
        <v>26504</v>
      </c>
      <c r="F129" s="173">
        <v>19.3</v>
      </c>
      <c r="G129" s="13" t="s">
        <v>98</v>
      </c>
      <c r="H129" s="11">
        <v>6066</v>
      </c>
      <c r="I129" s="14">
        <f>H129/60/60</f>
        <v>1.6849999999999998</v>
      </c>
      <c r="J129" s="168"/>
    </row>
    <row r="130" spans="1:10" x14ac:dyDescent="0.25">
      <c r="A130" s="24">
        <v>130</v>
      </c>
      <c r="B130" s="46">
        <v>0.375</v>
      </c>
      <c r="C130" s="11" t="s">
        <v>497</v>
      </c>
      <c r="D130" s="12" t="s">
        <v>498</v>
      </c>
      <c r="E130" s="11">
        <v>25631</v>
      </c>
      <c r="F130" s="173">
        <v>22.1</v>
      </c>
      <c r="G130" s="13" t="s">
        <v>408</v>
      </c>
      <c r="H130" s="11">
        <v>5518</v>
      </c>
      <c r="I130" s="14">
        <f t="shared" ref="I130:I160" si="4">H130/60/60</f>
        <v>1.5327777777777778</v>
      </c>
      <c r="J130" s="166"/>
    </row>
    <row r="131" spans="1:10" x14ac:dyDescent="0.25">
      <c r="A131" s="24">
        <v>131</v>
      </c>
      <c r="B131" s="46">
        <v>0.5</v>
      </c>
      <c r="C131" s="40" t="s">
        <v>499</v>
      </c>
      <c r="D131" s="47" t="s">
        <v>500</v>
      </c>
      <c r="E131" s="40">
        <v>26580</v>
      </c>
      <c r="F131" s="175">
        <v>19</v>
      </c>
      <c r="G131" s="48" t="s">
        <v>501</v>
      </c>
      <c r="H131" s="11">
        <v>5680</v>
      </c>
      <c r="I131" s="14">
        <f t="shared" si="4"/>
        <v>1.5777777777777779</v>
      </c>
      <c r="J131" s="166"/>
    </row>
    <row r="132" spans="1:10" x14ac:dyDescent="0.25">
      <c r="A132" s="24">
        <v>132</v>
      </c>
      <c r="B132" s="46">
        <v>0.625</v>
      </c>
      <c r="C132" s="40" t="s">
        <v>502</v>
      </c>
      <c r="D132" s="47" t="s">
        <v>503</v>
      </c>
      <c r="E132" s="40">
        <v>26646</v>
      </c>
      <c r="F132" s="175">
        <v>18.8</v>
      </c>
      <c r="G132" s="48" t="s">
        <v>422</v>
      </c>
      <c r="H132" s="11">
        <v>5242</v>
      </c>
      <c r="I132" s="14">
        <f t="shared" si="4"/>
        <v>1.4561111111111109</v>
      </c>
      <c r="J132" s="168">
        <f>5870/60/60</f>
        <v>1.6305555555555555</v>
      </c>
    </row>
    <row r="133" spans="1:10" x14ac:dyDescent="0.25">
      <c r="A133" s="24">
        <v>133</v>
      </c>
      <c r="B133" s="46">
        <v>0.75</v>
      </c>
      <c r="C133" s="11" t="s">
        <v>506</v>
      </c>
      <c r="D133" s="47" t="s">
        <v>507</v>
      </c>
      <c r="E133" s="40"/>
      <c r="F133" s="176"/>
      <c r="G133" s="48" t="s">
        <v>288</v>
      </c>
      <c r="H133" s="11">
        <v>852</v>
      </c>
      <c r="I133" s="14">
        <f t="shared" si="4"/>
        <v>0.23666666666666666</v>
      </c>
      <c r="J133" s="168">
        <f>1026/60/60</f>
        <v>0.28500000000000003</v>
      </c>
    </row>
    <row r="134" spans="1:10" x14ac:dyDescent="0.25">
      <c r="A134" s="24">
        <v>134</v>
      </c>
      <c r="B134" s="46">
        <v>0.875</v>
      </c>
      <c r="C134" s="40" t="s">
        <v>509</v>
      </c>
      <c r="D134" s="47" t="s">
        <v>510</v>
      </c>
      <c r="E134" s="40">
        <v>27176</v>
      </c>
      <c r="F134" s="175">
        <v>17.3</v>
      </c>
      <c r="G134" s="48" t="s">
        <v>469</v>
      </c>
      <c r="H134" s="11">
        <v>5804</v>
      </c>
      <c r="I134" s="14">
        <f t="shared" si="4"/>
        <v>1.6122222222222222</v>
      </c>
      <c r="J134" s="168">
        <f>6442/60/60</f>
        <v>1.7894444444444444</v>
      </c>
    </row>
    <row r="135" spans="1:10" x14ac:dyDescent="0.25">
      <c r="A135" s="24">
        <v>135</v>
      </c>
      <c r="B135" s="46">
        <v>0</v>
      </c>
      <c r="C135" s="40" t="s">
        <v>511</v>
      </c>
      <c r="D135" s="47" t="s">
        <v>512</v>
      </c>
      <c r="E135" s="40">
        <v>28469</v>
      </c>
      <c r="F135" s="175">
        <v>14.1</v>
      </c>
      <c r="G135" s="48" t="s">
        <v>98</v>
      </c>
      <c r="H135" s="11">
        <v>6468</v>
      </c>
      <c r="I135" s="14">
        <f t="shared" si="4"/>
        <v>1.7966666666666666</v>
      </c>
      <c r="J135" s="168">
        <f>7136/60/60</f>
        <v>1.9822222222222223</v>
      </c>
    </row>
    <row r="136" spans="1:10" x14ac:dyDescent="0.25">
      <c r="A136" s="24">
        <v>136</v>
      </c>
      <c r="B136" s="46">
        <v>0.125</v>
      </c>
      <c r="C136" s="40" t="s">
        <v>513</v>
      </c>
      <c r="D136" s="47" t="s">
        <v>514</v>
      </c>
      <c r="E136" s="40">
        <v>14500</v>
      </c>
      <c r="F136" s="175">
        <v>144.9</v>
      </c>
      <c r="G136" s="48" t="s">
        <v>439</v>
      </c>
      <c r="H136" s="11">
        <v>2530</v>
      </c>
      <c r="I136" s="14">
        <f t="shared" si="4"/>
        <v>0.70277777777777772</v>
      </c>
      <c r="J136" s="168">
        <f>2930/60/60</f>
        <v>0.81388888888888888</v>
      </c>
    </row>
    <row r="137" spans="1:10" x14ac:dyDescent="0.25">
      <c r="A137" s="24">
        <v>137</v>
      </c>
      <c r="B137" s="46">
        <v>0.25</v>
      </c>
      <c r="C137" s="40" t="s">
        <v>516</v>
      </c>
      <c r="D137" s="47" t="s">
        <v>517</v>
      </c>
      <c r="E137" s="40">
        <v>27119</v>
      </c>
      <c r="F137" s="175">
        <v>17.600000000000001</v>
      </c>
      <c r="G137" s="48" t="s">
        <v>98</v>
      </c>
      <c r="H137" s="11">
        <v>6130</v>
      </c>
      <c r="I137" s="14">
        <f t="shared" si="4"/>
        <v>1.7027777777777779</v>
      </c>
      <c r="J137" s="168"/>
    </row>
    <row r="138" spans="1:10" x14ac:dyDescent="0.25">
      <c r="A138" s="24">
        <v>138</v>
      </c>
      <c r="B138" s="46">
        <v>0.375</v>
      </c>
      <c r="C138" s="40" t="s">
        <v>519</v>
      </c>
      <c r="D138" s="47" t="s">
        <v>520</v>
      </c>
      <c r="E138" s="40">
        <v>27634</v>
      </c>
      <c r="F138" s="175">
        <v>16.2</v>
      </c>
      <c r="G138" s="48" t="s">
        <v>408</v>
      </c>
      <c r="H138" s="11">
        <v>6072</v>
      </c>
      <c r="I138" s="14">
        <f t="shared" si="4"/>
        <v>1.6866666666666668</v>
      </c>
      <c r="J138" s="168"/>
    </row>
    <row r="139" spans="1:10" x14ac:dyDescent="0.25">
      <c r="A139" s="24">
        <v>139</v>
      </c>
      <c r="B139" s="46">
        <v>0.5</v>
      </c>
      <c r="C139" s="40" t="s">
        <v>521</v>
      </c>
      <c r="D139" s="47" t="s">
        <v>522</v>
      </c>
      <c r="E139" s="40">
        <v>26278</v>
      </c>
      <c r="F139" s="175">
        <v>19.8</v>
      </c>
      <c r="G139" s="48" t="s">
        <v>525</v>
      </c>
      <c r="H139" s="11">
        <v>5296</v>
      </c>
      <c r="I139" s="14">
        <f t="shared" si="4"/>
        <v>1.471111111111111</v>
      </c>
      <c r="J139" s="168">
        <f>5296/60/60</f>
        <v>1.471111111111111</v>
      </c>
    </row>
    <row r="140" spans="1:10" x14ac:dyDescent="0.25">
      <c r="A140" s="24">
        <v>140</v>
      </c>
      <c r="B140" s="46">
        <v>0.625</v>
      </c>
      <c r="C140" s="40" t="s">
        <v>526</v>
      </c>
      <c r="D140" s="47" t="s">
        <v>527</v>
      </c>
      <c r="E140" s="40">
        <v>22399</v>
      </c>
      <c r="F140" s="175">
        <v>37</v>
      </c>
      <c r="G140" s="48" t="s">
        <v>335</v>
      </c>
      <c r="H140" s="11">
        <v>4078</v>
      </c>
      <c r="I140" s="14">
        <f t="shared" si="4"/>
        <v>1.1327777777777779</v>
      </c>
      <c r="J140" s="168">
        <f>4940/60/60</f>
        <v>1.3722222222222222</v>
      </c>
    </row>
    <row r="141" spans="1:10" x14ac:dyDescent="0.25">
      <c r="A141" s="24">
        <v>141</v>
      </c>
      <c r="B141" s="46">
        <v>0.75</v>
      </c>
      <c r="C141" s="40" t="s">
        <v>535</v>
      </c>
      <c r="D141" s="47" t="s">
        <v>527</v>
      </c>
      <c r="E141" s="40">
        <v>26531</v>
      </c>
      <c r="F141" s="175">
        <v>19.3</v>
      </c>
      <c r="G141" s="48" t="s">
        <v>408</v>
      </c>
      <c r="H141" s="11">
        <v>5770</v>
      </c>
      <c r="I141" s="14">
        <f t="shared" si="4"/>
        <v>1.6027777777777779</v>
      </c>
      <c r="J141" s="168">
        <f>6092/60/60</f>
        <v>1.6922222222222223</v>
      </c>
    </row>
    <row r="142" spans="1:10" x14ac:dyDescent="0.25">
      <c r="A142" s="24">
        <v>142</v>
      </c>
      <c r="B142" s="46">
        <v>0.875</v>
      </c>
      <c r="C142" s="40" t="s">
        <v>536</v>
      </c>
      <c r="D142" s="47" t="s">
        <v>537</v>
      </c>
      <c r="E142" s="40">
        <v>26066</v>
      </c>
      <c r="F142" s="175">
        <v>20.6</v>
      </c>
      <c r="G142" s="48" t="s">
        <v>27</v>
      </c>
      <c r="H142" s="11">
        <v>5144</v>
      </c>
      <c r="I142" s="14">
        <f t="shared" si="4"/>
        <v>1.4288888888888889</v>
      </c>
      <c r="J142" s="168">
        <f>5784/60/60</f>
        <v>1.6066666666666667</v>
      </c>
    </row>
    <row r="143" spans="1:10" x14ac:dyDescent="0.25">
      <c r="A143" s="24">
        <v>143</v>
      </c>
      <c r="B143" s="46">
        <v>0</v>
      </c>
      <c r="C143" s="40" t="s">
        <v>538</v>
      </c>
      <c r="D143" s="47" t="s">
        <v>539</v>
      </c>
      <c r="E143" s="40">
        <v>26288</v>
      </c>
      <c r="F143" s="175">
        <v>19.8</v>
      </c>
      <c r="G143" s="48" t="s">
        <v>477</v>
      </c>
      <c r="H143" s="11">
        <v>5366</v>
      </c>
      <c r="I143" s="14">
        <f t="shared" si="4"/>
        <v>1.4905555555555556</v>
      </c>
      <c r="J143" s="168">
        <f>6014/60/60</f>
        <v>1.6705555555555556</v>
      </c>
    </row>
    <row r="144" spans="1:10" x14ac:dyDescent="0.25">
      <c r="A144" s="24">
        <v>144</v>
      </c>
      <c r="B144" s="46">
        <v>0.125</v>
      </c>
      <c r="C144" s="40" t="s">
        <v>540</v>
      </c>
      <c r="D144" s="47" t="s">
        <v>541</v>
      </c>
      <c r="E144" s="40">
        <v>25785</v>
      </c>
      <c r="F144" s="175">
        <v>21.5</v>
      </c>
      <c r="G144" s="48" t="s">
        <v>308</v>
      </c>
      <c r="H144" s="11">
        <v>5308</v>
      </c>
      <c r="I144" s="14">
        <f t="shared" si="4"/>
        <v>1.4744444444444444</v>
      </c>
      <c r="J144" s="168">
        <f>5972/60/60</f>
        <v>1.6588888888888889</v>
      </c>
    </row>
    <row r="145" spans="1:10" x14ac:dyDescent="0.25">
      <c r="A145" s="24">
        <v>145</v>
      </c>
      <c r="B145" s="46">
        <v>0.25</v>
      </c>
      <c r="C145" s="40" t="s">
        <v>543</v>
      </c>
      <c r="D145" s="47" t="s">
        <v>544</v>
      </c>
      <c r="E145" s="40">
        <v>26015</v>
      </c>
      <c r="F145" s="175">
        <v>20.8</v>
      </c>
      <c r="G145" s="48" t="s">
        <v>469</v>
      </c>
      <c r="H145" s="11">
        <v>5482</v>
      </c>
      <c r="I145" s="14">
        <f t="shared" si="4"/>
        <v>1.5227777777777776</v>
      </c>
      <c r="J145" s="168">
        <v>1.7105555555555556</v>
      </c>
    </row>
    <row r="146" spans="1:10" x14ac:dyDescent="0.25">
      <c r="A146" s="24">
        <v>146</v>
      </c>
      <c r="B146" s="46">
        <v>0.375</v>
      </c>
      <c r="C146" s="40" t="s">
        <v>545</v>
      </c>
      <c r="D146" s="47" t="s">
        <v>546</v>
      </c>
      <c r="E146" s="40">
        <v>26578</v>
      </c>
      <c r="F146" s="175">
        <v>19.100000000000001</v>
      </c>
      <c r="G146" s="48" t="s">
        <v>288</v>
      </c>
      <c r="H146" s="11">
        <v>4774</v>
      </c>
      <c r="I146" s="14">
        <f t="shared" si="4"/>
        <v>1.326111111111111</v>
      </c>
      <c r="J146" s="166">
        <v>1.5</v>
      </c>
    </row>
    <row r="147" spans="1:10" x14ac:dyDescent="0.25">
      <c r="A147" s="24">
        <v>147</v>
      </c>
      <c r="B147" s="46">
        <v>0.5</v>
      </c>
      <c r="C147" s="40" t="s">
        <v>547</v>
      </c>
      <c r="D147" s="47" t="s">
        <v>548</v>
      </c>
      <c r="E147" s="40">
        <v>24653</v>
      </c>
      <c r="F147" s="175">
        <v>25.7</v>
      </c>
      <c r="G147" s="48" t="s">
        <v>549</v>
      </c>
      <c r="H147" s="11">
        <v>5072</v>
      </c>
      <c r="I147" s="14">
        <f t="shared" si="4"/>
        <v>1.4088888888888889</v>
      </c>
      <c r="J147" s="168">
        <f>5812/60/60</f>
        <v>1.6144444444444443</v>
      </c>
    </row>
    <row r="148" spans="1:10" x14ac:dyDescent="0.25">
      <c r="A148" s="9">
        <v>148</v>
      </c>
      <c r="B148" s="46">
        <v>0.625</v>
      </c>
      <c r="C148" s="40" t="s">
        <v>550</v>
      </c>
      <c r="D148" s="47" t="s">
        <v>551</v>
      </c>
      <c r="E148" s="40">
        <v>22915</v>
      </c>
      <c r="F148" s="175">
        <v>34.1</v>
      </c>
      <c r="G148" s="48" t="s">
        <v>27</v>
      </c>
      <c r="H148" s="11">
        <v>4568</v>
      </c>
      <c r="I148" s="14">
        <f t="shared" si="4"/>
        <v>1.268888888888889</v>
      </c>
      <c r="J148" s="168">
        <f>5330/60/60</f>
        <v>1.4805555555555554</v>
      </c>
    </row>
    <row r="149" spans="1:10" x14ac:dyDescent="0.25">
      <c r="A149" s="9">
        <v>149</v>
      </c>
      <c r="B149" s="46">
        <v>0.75</v>
      </c>
      <c r="C149" s="11" t="s">
        <v>552</v>
      </c>
      <c r="D149" s="12" t="s">
        <v>553</v>
      </c>
      <c r="E149" s="11">
        <v>26134</v>
      </c>
      <c r="F149" s="173">
        <v>20.399999999999999</v>
      </c>
      <c r="G149" s="13" t="s">
        <v>308</v>
      </c>
      <c r="H149" s="11">
        <v>5432</v>
      </c>
      <c r="I149" s="14">
        <f t="shared" si="4"/>
        <v>1.5088888888888889</v>
      </c>
      <c r="J149" s="168">
        <f>6114/60/60</f>
        <v>1.6983333333333335</v>
      </c>
    </row>
    <row r="150" spans="1:10" x14ac:dyDescent="0.25">
      <c r="A150" s="9">
        <v>150</v>
      </c>
      <c r="B150" s="46">
        <v>0.875</v>
      </c>
      <c r="C150" s="40" t="s">
        <v>555</v>
      </c>
      <c r="D150" s="47" t="s">
        <v>556</v>
      </c>
      <c r="E150" s="11">
        <v>27013</v>
      </c>
      <c r="F150" s="173">
        <v>17.8</v>
      </c>
      <c r="G150" s="13" t="s">
        <v>439</v>
      </c>
      <c r="H150" s="11">
        <v>4668</v>
      </c>
      <c r="I150" s="14">
        <f t="shared" si="4"/>
        <v>1.2966666666666666</v>
      </c>
      <c r="J150" s="168">
        <f>5386/60/60</f>
        <v>1.4961111111111112</v>
      </c>
    </row>
    <row r="151" spans="1:10" x14ac:dyDescent="0.25">
      <c r="A151" s="9">
        <v>151</v>
      </c>
      <c r="B151" s="46">
        <v>0</v>
      </c>
      <c r="C151" s="11" t="s">
        <v>557</v>
      </c>
      <c r="D151" s="12" t="s">
        <v>558</v>
      </c>
      <c r="E151" s="11">
        <v>27054</v>
      </c>
      <c r="F151" s="173">
        <v>17.600000000000001</v>
      </c>
      <c r="G151" s="13" t="s">
        <v>27</v>
      </c>
      <c r="H151" s="11">
        <v>5452</v>
      </c>
      <c r="I151" s="14">
        <f t="shared" si="4"/>
        <v>1.5144444444444443</v>
      </c>
      <c r="J151" s="168">
        <f>5980/60/60</f>
        <v>1.6611111111111112</v>
      </c>
    </row>
    <row r="152" spans="1:10" x14ac:dyDescent="0.25">
      <c r="A152" s="24">
        <v>152</v>
      </c>
      <c r="B152" s="46">
        <v>0.125</v>
      </c>
      <c r="C152" s="11" t="s">
        <v>559</v>
      </c>
      <c r="D152" s="12" t="s">
        <v>560</v>
      </c>
      <c r="E152" s="11">
        <v>27380</v>
      </c>
      <c r="F152" s="173">
        <v>16.7</v>
      </c>
      <c r="G152" s="13" t="s">
        <v>413</v>
      </c>
      <c r="H152" s="11">
        <v>6069</v>
      </c>
      <c r="I152" s="14">
        <f t="shared" si="4"/>
        <v>1.6858333333333335</v>
      </c>
      <c r="J152" s="168"/>
    </row>
    <row r="153" spans="1:10" x14ac:dyDescent="0.25">
      <c r="A153" s="24">
        <v>152</v>
      </c>
      <c r="B153" s="46">
        <v>0.25</v>
      </c>
      <c r="C153" s="11" t="s">
        <v>562</v>
      </c>
      <c r="D153" s="12" t="s">
        <v>563</v>
      </c>
      <c r="E153" s="11">
        <v>17340</v>
      </c>
      <c r="F153" s="173">
        <v>88.7</v>
      </c>
      <c r="G153" s="13" t="s">
        <v>228</v>
      </c>
      <c r="H153" s="11">
        <v>3204</v>
      </c>
      <c r="I153" s="14">
        <f t="shared" si="4"/>
        <v>0.89</v>
      </c>
      <c r="J153" s="168">
        <f>4054/60/60</f>
        <v>1.1261111111111111</v>
      </c>
    </row>
    <row r="154" spans="1:10" x14ac:dyDescent="0.25">
      <c r="A154" s="24">
        <v>154</v>
      </c>
      <c r="B154" s="46">
        <v>0.375</v>
      </c>
      <c r="C154" s="11" t="s">
        <v>564</v>
      </c>
      <c r="D154" s="12" t="s">
        <v>565</v>
      </c>
      <c r="E154" s="11">
        <v>27847</v>
      </c>
      <c r="F154" s="173">
        <v>15.7</v>
      </c>
      <c r="G154" s="13" t="s">
        <v>566</v>
      </c>
      <c r="H154" s="11">
        <v>7590</v>
      </c>
      <c r="I154" s="14">
        <f t="shared" si="4"/>
        <v>2.1083333333333334</v>
      </c>
      <c r="J154" s="168">
        <f>8314/60/60</f>
        <v>2.3094444444444444</v>
      </c>
    </row>
    <row r="155" spans="1:10" x14ac:dyDescent="0.25">
      <c r="A155" s="24">
        <v>155</v>
      </c>
      <c r="B155" s="46">
        <v>0.5</v>
      </c>
      <c r="C155" s="11" t="s">
        <v>567</v>
      </c>
      <c r="D155" s="12" t="s">
        <v>568</v>
      </c>
      <c r="E155" s="11">
        <v>26393</v>
      </c>
      <c r="F155" s="173">
        <v>19.600000000000001</v>
      </c>
      <c r="G155" s="13" t="s">
        <v>569</v>
      </c>
      <c r="H155" s="11">
        <v>5894</v>
      </c>
      <c r="I155" s="14">
        <f t="shared" si="4"/>
        <v>1.6372222222222221</v>
      </c>
      <c r="J155" s="166">
        <f>6550/60/60</f>
        <v>1.8194444444444444</v>
      </c>
    </row>
    <row r="156" spans="1:10" x14ac:dyDescent="0.25">
      <c r="A156" s="24">
        <v>156</v>
      </c>
      <c r="B156" s="46">
        <v>0.625</v>
      </c>
      <c r="C156" s="11" t="s">
        <v>570</v>
      </c>
      <c r="D156" s="12" t="s">
        <v>571</v>
      </c>
      <c r="E156" s="11">
        <v>26424</v>
      </c>
      <c r="F156" s="173">
        <v>19.5</v>
      </c>
      <c r="G156" s="13" t="s">
        <v>439</v>
      </c>
      <c r="H156" s="11">
        <v>4644</v>
      </c>
      <c r="I156" s="14">
        <f t="shared" si="4"/>
        <v>1.29</v>
      </c>
      <c r="J156" s="166">
        <f>5294/60/60</f>
        <v>1.4705555555555556</v>
      </c>
    </row>
    <row r="157" spans="1:10" x14ac:dyDescent="0.25">
      <c r="A157" s="24">
        <v>157</v>
      </c>
      <c r="B157" s="46">
        <v>0.75</v>
      </c>
      <c r="C157" s="11" t="s">
        <v>572</v>
      </c>
      <c r="D157" s="12" t="s">
        <v>573</v>
      </c>
      <c r="E157" s="11"/>
      <c r="F157" s="176"/>
      <c r="G157" s="13" t="s">
        <v>477</v>
      </c>
      <c r="H157" s="11">
        <v>1054</v>
      </c>
      <c r="I157" s="14">
        <f t="shared" si="4"/>
        <v>0.29277777777777775</v>
      </c>
      <c r="J157" s="166">
        <f>5294/60/60</f>
        <v>1.4705555555555556</v>
      </c>
    </row>
    <row r="158" spans="1:10" x14ac:dyDescent="0.25">
      <c r="A158" s="24">
        <v>158</v>
      </c>
      <c r="B158" s="46">
        <v>0.875</v>
      </c>
      <c r="C158" s="11" t="s">
        <v>574</v>
      </c>
      <c r="D158" s="12" t="s">
        <v>576</v>
      </c>
      <c r="E158" s="11">
        <v>26655</v>
      </c>
      <c r="F158" s="173">
        <v>18.8</v>
      </c>
      <c r="G158" s="13" t="s">
        <v>284</v>
      </c>
      <c r="H158" s="11">
        <v>5128</v>
      </c>
      <c r="I158" s="14">
        <f t="shared" si="4"/>
        <v>1.4244444444444444</v>
      </c>
      <c r="J158" s="166">
        <v>1.6</v>
      </c>
    </row>
    <row r="159" spans="1:10" x14ac:dyDescent="0.25">
      <c r="A159" s="24">
        <v>159</v>
      </c>
      <c r="B159" s="46">
        <v>0</v>
      </c>
      <c r="C159" s="11" t="s">
        <v>577</v>
      </c>
      <c r="D159" s="12" t="s">
        <v>578</v>
      </c>
      <c r="E159" s="11">
        <v>26440</v>
      </c>
      <c r="F159" s="173">
        <v>19.399999999999999</v>
      </c>
      <c r="G159" s="13" t="s">
        <v>408</v>
      </c>
      <c r="H159" s="11">
        <v>5710</v>
      </c>
      <c r="I159" s="14">
        <f t="shared" si="4"/>
        <v>1.5861111111111112</v>
      </c>
      <c r="J159" s="168">
        <v>1.77</v>
      </c>
    </row>
    <row r="160" spans="1:10" x14ac:dyDescent="0.25">
      <c r="A160" s="24">
        <v>160</v>
      </c>
      <c r="B160" s="46">
        <v>0.125</v>
      </c>
      <c r="C160" s="11" t="s">
        <v>579</v>
      </c>
      <c r="D160" s="12" t="s">
        <v>580</v>
      </c>
      <c r="E160" s="11">
        <v>26993</v>
      </c>
      <c r="F160" s="173">
        <v>17.899999999999999</v>
      </c>
      <c r="G160" s="13" t="s">
        <v>228</v>
      </c>
      <c r="H160" s="11">
        <v>4996</v>
      </c>
      <c r="I160" s="14">
        <f t="shared" si="4"/>
        <v>1.3877777777777778</v>
      </c>
      <c r="J160" s="168">
        <v>1.55</v>
      </c>
    </row>
    <row r="161" spans="1:10" x14ac:dyDescent="0.25">
      <c r="A161" s="9">
        <v>161</v>
      </c>
      <c r="B161" s="46">
        <v>0.25</v>
      </c>
      <c r="C161" s="11" t="s">
        <v>582</v>
      </c>
      <c r="D161" s="12" t="s">
        <v>583</v>
      </c>
      <c r="E161" s="11">
        <v>26441</v>
      </c>
      <c r="F161" s="173">
        <v>19.7</v>
      </c>
      <c r="G161" s="13" t="s">
        <v>27</v>
      </c>
      <c r="H161" s="56">
        <v>5266</v>
      </c>
      <c r="I161" s="11">
        <v>1.46</v>
      </c>
      <c r="J161" s="168">
        <v>1.64</v>
      </c>
    </row>
    <row r="162" spans="1:10" x14ac:dyDescent="0.25">
      <c r="A162" s="18">
        <v>162</v>
      </c>
      <c r="B162" s="19">
        <v>0.375</v>
      </c>
      <c r="C162" s="20" t="s">
        <v>590</v>
      </c>
      <c r="D162" s="21"/>
      <c r="E162" s="20"/>
      <c r="F162" s="174"/>
      <c r="G162" s="87"/>
      <c r="H162" s="157"/>
      <c r="I162" s="20"/>
      <c r="J162" s="167"/>
    </row>
    <row r="163" spans="1:10" x14ac:dyDescent="0.25">
      <c r="A163" s="24">
        <v>162</v>
      </c>
      <c r="B163" s="46">
        <v>0.375</v>
      </c>
      <c r="C163" s="11" t="s">
        <v>584</v>
      </c>
      <c r="D163" s="12" t="s">
        <v>585</v>
      </c>
      <c r="E163" s="11">
        <v>25483</v>
      </c>
      <c r="F163" s="173">
        <v>22.7</v>
      </c>
      <c r="G163" s="13" t="s">
        <v>60</v>
      </c>
      <c r="H163" s="11">
        <v>4212</v>
      </c>
      <c r="I163" s="14">
        <v>1.17</v>
      </c>
      <c r="J163" s="166">
        <v>1.35</v>
      </c>
    </row>
    <row r="164" spans="1:10" x14ac:dyDescent="0.25">
      <c r="A164" s="18">
        <v>163</v>
      </c>
      <c r="B164" s="19">
        <v>0.5</v>
      </c>
      <c r="C164" s="20" t="s">
        <v>587</v>
      </c>
      <c r="D164" s="21"/>
      <c r="E164" s="20"/>
      <c r="F164" s="174"/>
      <c r="G164" s="87"/>
      <c r="H164" s="20"/>
      <c r="I164" s="22"/>
      <c r="J164" s="167"/>
    </row>
    <row r="165" spans="1:10" x14ac:dyDescent="0.25">
      <c r="A165" s="24">
        <v>163</v>
      </c>
      <c r="B165" s="46">
        <v>0.5</v>
      </c>
      <c r="C165" s="40" t="s">
        <v>591</v>
      </c>
      <c r="D165" s="47" t="s">
        <v>588</v>
      </c>
      <c r="E165" s="40">
        <v>27276</v>
      </c>
      <c r="F165" s="175">
        <v>17</v>
      </c>
      <c r="G165" s="48" t="s">
        <v>469</v>
      </c>
      <c r="H165" s="11">
        <v>5832</v>
      </c>
      <c r="I165" s="14">
        <f>H165/60/60</f>
        <v>1.62</v>
      </c>
      <c r="J165" s="166">
        <f>5862/60/60</f>
        <v>1.6283333333333334</v>
      </c>
    </row>
    <row r="166" spans="1:10" x14ac:dyDescent="0.25">
      <c r="A166" s="24">
        <v>164</v>
      </c>
      <c r="B166" s="46">
        <v>0.625</v>
      </c>
      <c r="C166" s="161" t="s">
        <v>599</v>
      </c>
      <c r="D166" s="47" t="s">
        <v>600</v>
      </c>
      <c r="E166" s="92">
        <v>26269</v>
      </c>
      <c r="F166" s="177">
        <v>20</v>
      </c>
      <c r="G166" s="93">
        <v>5</v>
      </c>
      <c r="H166" s="93">
        <v>5244</v>
      </c>
      <c r="I166" s="14">
        <f>H166/60/60</f>
        <v>1.4566666666666668</v>
      </c>
      <c r="J166" s="103"/>
    </row>
    <row r="167" spans="1:10" x14ac:dyDescent="0.25">
      <c r="A167" s="24">
        <v>165</v>
      </c>
      <c r="B167" s="46">
        <v>0.75</v>
      </c>
      <c r="C167" s="40" t="s">
        <v>594</v>
      </c>
      <c r="D167" s="47" t="s">
        <v>601</v>
      </c>
      <c r="E167" s="56">
        <v>25782</v>
      </c>
      <c r="F167" s="178">
        <v>21.7</v>
      </c>
      <c r="G167" s="56">
        <v>5.5</v>
      </c>
      <c r="H167" s="56">
        <v>4646</v>
      </c>
      <c r="I167" s="14">
        <f>H167/60/60</f>
        <v>1.2905555555555557</v>
      </c>
      <c r="J167" s="57"/>
    </row>
    <row r="168" spans="1:10" x14ac:dyDescent="0.25">
      <c r="A168" s="24">
        <v>166</v>
      </c>
      <c r="B168" s="46">
        <v>0.875</v>
      </c>
      <c r="C168" s="11" t="s">
        <v>595</v>
      </c>
      <c r="D168" s="47" t="s">
        <v>596</v>
      </c>
      <c r="E168" s="40">
        <v>27879</v>
      </c>
      <c r="F168" s="175">
        <v>15.6</v>
      </c>
      <c r="G168" s="48" t="s">
        <v>308</v>
      </c>
      <c r="H168" s="11">
        <v>5740</v>
      </c>
      <c r="I168" s="14">
        <f t="shared" ref="I168:I193" si="5">H168/60/60</f>
        <v>1.5944444444444446</v>
      </c>
      <c r="J168" s="166">
        <f>5862/60/60</f>
        <v>1.6283333333333334</v>
      </c>
    </row>
    <row r="169" spans="1:10" x14ac:dyDescent="0.25">
      <c r="A169" s="24">
        <v>167</v>
      </c>
      <c r="B169" s="46">
        <v>0</v>
      </c>
      <c r="C169" s="40" t="s">
        <v>603</v>
      </c>
      <c r="D169" s="47" t="s">
        <v>604</v>
      </c>
      <c r="E169" s="40">
        <v>27067</v>
      </c>
      <c r="F169" s="175">
        <v>17.7</v>
      </c>
      <c r="G169" s="48" t="s">
        <v>605</v>
      </c>
      <c r="H169" s="11">
        <v>5628</v>
      </c>
      <c r="I169" s="14">
        <f t="shared" si="5"/>
        <v>1.5633333333333332</v>
      </c>
      <c r="J169" s="166">
        <f>6258/60/60</f>
        <v>1.7383333333333333</v>
      </c>
    </row>
    <row r="170" spans="1:10" x14ac:dyDescent="0.25">
      <c r="A170" s="24">
        <v>168</v>
      </c>
      <c r="B170" s="46">
        <v>0.125</v>
      </c>
      <c r="C170" s="40" t="s">
        <v>606</v>
      </c>
      <c r="D170" s="47" t="s">
        <v>607</v>
      </c>
      <c r="E170" s="40">
        <v>27084</v>
      </c>
      <c r="F170" s="175">
        <v>17.600000000000001</v>
      </c>
      <c r="G170" s="48" t="s">
        <v>284</v>
      </c>
      <c r="H170" s="11">
        <v>5206</v>
      </c>
      <c r="I170" s="14">
        <f t="shared" si="5"/>
        <v>1.4461111111111111</v>
      </c>
      <c r="J170" s="166">
        <f>6876/60/60</f>
        <v>1.91</v>
      </c>
    </row>
    <row r="171" spans="1:10" x14ac:dyDescent="0.25">
      <c r="A171" s="24">
        <v>169</v>
      </c>
      <c r="B171" s="46">
        <v>0.25</v>
      </c>
      <c r="C171" s="40" t="s">
        <v>608</v>
      </c>
      <c r="D171" s="47" t="s">
        <v>609</v>
      </c>
      <c r="E171" s="40">
        <v>26648</v>
      </c>
      <c r="F171" s="175">
        <v>18.899999999999999</v>
      </c>
      <c r="G171" s="48" t="s">
        <v>413</v>
      </c>
      <c r="H171" s="11">
        <v>5862</v>
      </c>
      <c r="I171" s="14">
        <f t="shared" si="5"/>
        <v>1.6283333333333334</v>
      </c>
      <c r="J171" s="166">
        <v>1.93</v>
      </c>
    </row>
    <row r="172" spans="1:10" x14ac:dyDescent="0.25">
      <c r="A172" s="18">
        <v>170</v>
      </c>
      <c r="B172" s="19">
        <v>0.375</v>
      </c>
      <c r="C172" s="20" t="s">
        <v>610</v>
      </c>
      <c r="D172" s="21"/>
      <c r="E172" s="20"/>
      <c r="F172" s="174"/>
      <c r="G172" s="87"/>
      <c r="H172" s="20"/>
      <c r="I172" s="22"/>
      <c r="J172" s="167"/>
    </row>
    <row r="173" spans="1:10" x14ac:dyDescent="0.25">
      <c r="A173" s="24">
        <v>171</v>
      </c>
      <c r="B173" s="46">
        <v>0.5</v>
      </c>
      <c r="C173" s="40" t="s">
        <v>613</v>
      </c>
      <c r="D173" s="47" t="s">
        <v>615</v>
      </c>
      <c r="E173" s="40">
        <v>26174</v>
      </c>
      <c r="F173" s="175">
        <v>20.2</v>
      </c>
      <c r="G173" s="48" t="s">
        <v>284</v>
      </c>
      <c r="H173" s="11">
        <v>5042</v>
      </c>
      <c r="I173" s="14">
        <f t="shared" si="5"/>
        <v>1.4005555555555556</v>
      </c>
      <c r="J173" s="168"/>
    </row>
    <row r="174" spans="1:10" x14ac:dyDescent="0.25">
      <c r="A174" s="24">
        <v>172</v>
      </c>
      <c r="B174" s="46">
        <v>0.625</v>
      </c>
      <c r="C174" s="40" t="s">
        <v>614</v>
      </c>
      <c r="D174" s="47" t="s">
        <v>617</v>
      </c>
      <c r="E174" s="40">
        <v>26947</v>
      </c>
      <c r="F174" s="175">
        <v>18</v>
      </c>
      <c r="G174" s="48" t="s">
        <v>405</v>
      </c>
      <c r="H174" s="11">
        <v>5550</v>
      </c>
      <c r="I174" s="14">
        <f t="shared" si="5"/>
        <v>1.5416666666666667</v>
      </c>
      <c r="J174" s="166">
        <f>6172/60/60</f>
        <v>1.7144444444444444</v>
      </c>
    </row>
    <row r="175" spans="1:10" x14ac:dyDescent="0.25">
      <c r="A175" s="24">
        <v>173</v>
      </c>
      <c r="B175" s="46">
        <v>0.75</v>
      </c>
      <c r="C175" s="40" t="s">
        <v>619</v>
      </c>
      <c r="D175" s="47" t="s">
        <v>620</v>
      </c>
      <c r="E175" s="40">
        <v>25723</v>
      </c>
      <c r="F175" s="175">
        <v>21.8</v>
      </c>
      <c r="G175" s="48" t="s">
        <v>422</v>
      </c>
      <c r="H175" s="11">
        <v>5006</v>
      </c>
      <c r="I175" s="14">
        <f t="shared" si="5"/>
        <v>1.3905555555555555</v>
      </c>
      <c r="J175" s="166">
        <f>6420/60/60</f>
        <v>1.7833333333333334</v>
      </c>
    </row>
    <row r="176" spans="1:10" x14ac:dyDescent="0.25">
      <c r="A176" s="24">
        <v>174</v>
      </c>
      <c r="B176" s="46">
        <v>0.875</v>
      </c>
      <c r="C176" s="40" t="s">
        <v>61</v>
      </c>
      <c r="D176" s="47" t="s">
        <v>621</v>
      </c>
      <c r="E176" s="40">
        <v>27162</v>
      </c>
      <c r="F176" s="175">
        <v>17.399999999999999</v>
      </c>
      <c r="G176" s="48" t="s">
        <v>27</v>
      </c>
      <c r="H176" s="11">
        <v>5418</v>
      </c>
      <c r="I176" s="14">
        <f t="shared" si="5"/>
        <v>1.5049999999999999</v>
      </c>
      <c r="J176" s="166">
        <f>6054/60/60</f>
        <v>1.6816666666666669</v>
      </c>
    </row>
    <row r="177" spans="1:10" x14ac:dyDescent="0.25">
      <c r="A177" s="24">
        <v>175</v>
      </c>
      <c r="B177" s="46">
        <v>0</v>
      </c>
      <c r="C177" s="40" t="s">
        <v>623</v>
      </c>
      <c r="D177" s="47" t="s">
        <v>624</v>
      </c>
      <c r="E177" s="40">
        <v>27192</v>
      </c>
      <c r="F177" s="175">
        <v>17.3</v>
      </c>
      <c r="G177" s="48" t="s">
        <v>477</v>
      </c>
      <c r="H177" s="11">
        <v>5542</v>
      </c>
      <c r="I177" s="14">
        <f t="shared" si="5"/>
        <v>1.5394444444444444</v>
      </c>
      <c r="J177" s="168">
        <v>1.71</v>
      </c>
    </row>
    <row r="178" spans="1:10" x14ac:dyDescent="0.25">
      <c r="A178" s="24">
        <v>176</v>
      </c>
      <c r="B178" s="46">
        <v>0.125</v>
      </c>
      <c r="C178" s="40" t="s">
        <v>625</v>
      </c>
      <c r="D178" s="47" t="s">
        <v>626</v>
      </c>
      <c r="E178" s="40">
        <v>25635</v>
      </c>
      <c r="F178" s="175">
        <v>22</v>
      </c>
      <c r="G178" s="48" t="s">
        <v>422</v>
      </c>
      <c r="H178" s="11">
        <v>4988</v>
      </c>
      <c r="I178" s="14">
        <f t="shared" si="5"/>
        <v>1.3855555555555557</v>
      </c>
      <c r="J178" s="166">
        <f>5662/60/60</f>
        <v>1.5727777777777776</v>
      </c>
    </row>
    <row r="179" spans="1:10" x14ac:dyDescent="0.25">
      <c r="A179" s="24">
        <v>177</v>
      </c>
      <c r="B179" s="46">
        <v>0.25</v>
      </c>
      <c r="C179" s="40" t="s">
        <v>629</v>
      </c>
      <c r="D179" s="47" t="s">
        <v>630</v>
      </c>
      <c r="E179" s="40">
        <v>26705</v>
      </c>
      <c r="F179" s="175">
        <v>18.8</v>
      </c>
      <c r="G179" s="48" t="s">
        <v>469</v>
      </c>
      <c r="H179" s="11">
        <v>5720</v>
      </c>
      <c r="I179" s="14">
        <f t="shared" si="5"/>
        <v>1.5888888888888888</v>
      </c>
      <c r="J179" s="168">
        <v>1.78</v>
      </c>
    </row>
    <row r="180" spans="1:10" x14ac:dyDescent="0.25">
      <c r="A180" s="24">
        <v>178</v>
      </c>
      <c r="B180" s="46">
        <v>0.375</v>
      </c>
      <c r="C180" s="40" t="s">
        <v>631</v>
      </c>
      <c r="D180" s="47" t="s">
        <v>632</v>
      </c>
      <c r="E180" s="40">
        <v>26523</v>
      </c>
      <c r="F180" s="175">
        <v>19.3</v>
      </c>
      <c r="G180" s="48" t="s">
        <v>408</v>
      </c>
      <c r="H180" s="11">
        <v>5756</v>
      </c>
      <c r="I180" s="14">
        <f t="shared" si="5"/>
        <v>1.598888888888889</v>
      </c>
      <c r="J180" s="166">
        <v>1.9</v>
      </c>
    </row>
    <row r="181" spans="1:10" x14ac:dyDescent="0.25">
      <c r="A181" s="24">
        <v>179</v>
      </c>
      <c r="B181" s="46">
        <v>0.5</v>
      </c>
      <c r="C181" s="40" t="s">
        <v>633</v>
      </c>
      <c r="D181" s="47" t="s">
        <v>634</v>
      </c>
      <c r="E181" s="40">
        <v>26407</v>
      </c>
      <c r="F181" s="175">
        <v>19.600000000000001</v>
      </c>
      <c r="G181" s="48" t="s">
        <v>422</v>
      </c>
      <c r="H181" s="11">
        <v>5188</v>
      </c>
      <c r="I181" s="14">
        <f t="shared" si="5"/>
        <v>1.4411111111111112</v>
      </c>
      <c r="J181" s="168">
        <f>6260/60/60</f>
        <v>1.7388888888888887</v>
      </c>
    </row>
    <row r="182" spans="1:10" x14ac:dyDescent="0.25">
      <c r="A182" s="9">
        <v>180</v>
      </c>
      <c r="B182" s="46">
        <v>0.625</v>
      </c>
      <c r="C182" s="40" t="s">
        <v>636</v>
      </c>
      <c r="D182" s="47" t="s">
        <v>637</v>
      </c>
      <c r="E182" s="40">
        <v>25534</v>
      </c>
      <c r="F182" s="175">
        <v>22.4</v>
      </c>
      <c r="G182" s="48" t="s">
        <v>469</v>
      </c>
      <c r="H182" s="11">
        <v>5384</v>
      </c>
      <c r="I182" s="14">
        <f t="shared" si="5"/>
        <v>1.4955555555555555</v>
      </c>
      <c r="J182" s="168">
        <f>6054/60/60</f>
        <v>1.6816666666666669</v>
      </c>
    </row>
    <row r="183" spans="1:10" x14ac:dyDescent="0.25">
      <c r="A183" s="9">
        <v>181</v>
      </c>
      <c r="B183" s="46">
        <v>0.75</v>
      </c>
      <c r="C183" s="11" t="s">
        <v>638</v>
      </c>
      <c r="D183" s="12" t="s">
        <v>640</v>
      </c>
      <c r="E183" s="11">
        <v>26824</v>
      </c>
      <c r="F183" s="173">
        <v>18.5</v>
      </c>
      <c r="G183" s="13" t="s">
        <v>27</v>
      </c>
      <c r="H183" s="11">
        <v>5342</v>
      </c>
      <c r="I183" s="14">
        <f t="shared" si="5"/>
        <v>1.4838888888888888</v>
      </c>
      <c r="J183" s="168">
        <f>6254/60/60</f>
        <v>1.7372222222222222</v>
      </c>
    </row>
    <row r="184" spans="1:10" x14ac:dyDescent="0.25">
      <c r="A184" s="9">
        <v>182</v>
      </c>
      <c r="B184" s="46">
        <v>0.875</v>
      </c>
      <c r="C184" s="40" t="s">
        <v>654</v>
      </c>
      <c r="D184" s="47" t="s">
        <v>655</v>
      </c>
      <c r="E184" s="11">
        <v>28063</v>
      </c>
      <c r="F184" s="173">
        <v>15.1</v>
      </c>
      <c r="G184" s="13" t="s">
        <v>408</v>
      </c>
      <c r="H184" s="11">
        <v>6148</v>
      </c>
      <c r="I184" s="14">
        <f t="shared" si="5"/>
        <v>1.7077777777777778</v>
      </c>
      <c r="J184" s="168">
        <f>6814/60/60</f>
        <v>1.8927777777777777</v>
      </c>
    </row>
    <row r="185" spans="1:10" x14ac:dyDescent="0.25">
      <c r="A185" s="9">
        <v>183</v>
      </c>
      <c r="B185" s="46">
        <v>0</v>
      </c>
      <c r="C185" s="11" t="s">
        <v>656</v>
      </c>
      <c r="D185" s="12" t="s">
        <v>658</v>
      </c>
      <c r="E185" s="11">
        <v>27255</v>
      </c>
      <c r="F185" s="173">
        <v>17.100000000000001</v>
      </c>
      <c r="G185" s="13" t="s">
        <v>408</v>
      </c>
      <c r="H185" s="11">
        <v>5934</v>
      </c>
      <c r="I185" s="14">
        <f t="shared" si="5"/>
        <v>1.6483333333333334</v>
      </c>
      <c r="J185" s="168">
        <f>6814/60/60</f>
        <v>1.8927777777777777</v>
      </c>
    </row>
    <row r="186" spans="1:10" x14ac:dyDescent="0.25">
      <c r="A186" s="24">
        <v>184</v>
      </c>
      <c r="B186" s="46">
        <v>0.125</v>
      </c>
      <c r="C186" s="11" t="s">
        <v>398</v>
      </c>
      <c r="D186" s="12" t="s">
        <v>659</v>
      </c>
      <c r="E186" s="11">
        <v>24858</v>
      </c>
      <c r="F186" s="173">
        <v>26</v>
      </c>
      <c r="G186" s="13" t="s">
        <v>661</v>
      </c>
      <c r="H186" s="11">
        <v>4020</v>
      </c>
      <c r="I186" s="14">
        <f t="shared" si="5"/>
        <v>1.1166666666666667</v>
      </c>
      <c r="J186" s="168">
        <f>4634/60/60</f>
        <v>1.2872222222222223</v>
      </c>
    </row>
    <row r="187" spans="1:10" x14ac:dyDescent="0.25">
      <c r="A187" s="24">
        <v>185</v>
      </c>
      <c r="B187" s="46">
        <v>0.25</v>
      </c>
      <c r="C187" s="11" t="s">
        <v>662</v>
      </c>
      <c r="D187" s="12" t="s">
        <v>663</v>
      </c>
      <c r="E187" s="11">
        <v>26578</v>
      </c>
      <c r="F187" s="173">
        <v>19.100000000000001</v>
      </c>
      <c r="G187" s="13" t="s">
        <v>408</v>
      </c>
      <c r="H187" s="11">
        <v>5824</v>
      </c>
      <c r="I187" s="14">
        <f t="shared" si="5"/>
        <v>1.6177777777777778</v>
      </c>
      <c r="J187" s="168">
        <f>4634/60/60</f>
        <v>1.2872222222222223</v>
      </c>
    </row>
    <row r="188" spans="1:10" x14ac:dyDescent="0.25">
      <c r="A188" s="24">
        <v>186</v>
      </c>
      <c r="B188" s="46">
        <v>0.375</v>
      </c>
      <c r="C188" s="11" t="s">
        <v>664</v>
      </c>
      <c r="D188" s="12" t="s">
        <v>665</v>
      </c>
      <c r="E188" s="11">
        <v>27076</v>
      </c>
      <c r="F188" s="173">
        <v>17.7</v>
      </c>
      <c r="G188" s="13" t="s">
        <v>477</v>
      </c>
      <c r="H188" s="11">
        <v>5580</v>
      </c>
      <c r="I188" s="14">
        <f t="shared" si="5"/>
        <v>1.55</v>
      </c>
      <c r="J188" s="168">
        <v>1.74</v>
      </c>
    </row>
    <row r="189" spans="1:10" x14ac:dyDescent="0.25">
      <c r="A189" s="24">
        <v>187</v>
      </c>
      <c r="B189" s="46">
        <v>0.5</v>
      </c>
      <c r="C189" s="11" t="s">
        <v>666</v>
      </c>
      <c r="D189" s="12" t="s">
        <v>667</v>
      </c>
      <c r="E189" s="11">
        <v>25082</v>
      </c>
      <c r="F189" s="173">
        <v>24</v>
      </c>
      <c r="G189" s="13" t="s">
        <v>408</v>
      </c>
      <c r="H189" s="11">
        <v>5446</v>
      </c>
      <c r="I189" s="14">
        <f t="shared" si="5"/>
        <v>1.5127777777777778</v>
      </c>
      <c r="J189" s="166">
        <f>6108/60/60</f>
        <v>1.6966666666666665</v>
      </c>
    </row>
    <row r="190" spans="1:10" x14ac:dyDescent="0.25">
      <c r="A190" s="24">
        <v>188</v>
      </c>
      <c r="B190" s="46">
        <v>0.625</v>
      </c>
      <c r="C190" s="11" t="s">
        <v>669</v>
      </c>
      <c r="D190" s="12" t="s">
        <v>671</v>
      </c>
      <c r="E190" s="11">
        <v>27717</v>
      </c>
      <c r="F190" s="173">
        <v>15.9</v>
      </c>
      <c r="G190" s="13" t="s">
        <v>477</v>
      </c>
      <c r="H190" s="11">
        <v>5672</v>
      </c>
      <c r="I190" s="14">
        <f t="shared" si="5"/>
        <v>1.5755555555555556</v>
      </c>
      <c r="J190" s="166">
        <f>6290/60/60</f>
        <v>1.7472222222222222</v>
      </c>
    </row>
    <row r="191" spans="1:10" x14ac:dyDescent="0.25">
      <c r="A191" s="24">
        <v>189</v>
      </c>
      <c r="B191" s="46">
        <v>0.75</v>
      </c>
      <c r="C191" s="11" t="s">
        <v>672</v>
      </c>
      <c r="D191" s="12" t="s">
        <v>673</v>
      </c>
      <c r="E191" s="11">
        <v>27467</v>
      </c>
      <c r="F191" s="173">
        <v>16.600000000000001</v>
      </c>
      <c r="G191" s="13" t="s">
        <v>27</v>
      </c>
      <c r="H191" s="11">
        <v>5422</v>
      </c>
      <c r="I191" s="14">
        <f t="shared" si="5"/>
        <v>1.506111111111111</v>
      </c>
      <c r="J191" s="166">
        <f>6124/60/60</f>
        <v>1.701111111111111</v>
      </c>
    </row>
    <row r="192" spans="1:10" x14ac:dyDescent="0.25">
      <c r="A192" s="24">
        <v>190</v>
      </c>
      <c r="B192" s="46">
        <v>0.875</v>
      </c>
      <c r="C192" s="11" t="s">
        <v>674</v>
      </c>
      <c r="D192" s="12" t="s">
        <v>675</v>
      </c>
      <c r="E192" s="11">
        <v>26087</v>
      </c>
      <c r="F192" s="173">
        <v>20.5</v>
      </c>
      <c r="G192" s="13" t="s">
        <v>241</v>
      </c>
      <c r="H192" s="11">
        <v>4930</v>
      </c>
      <c r="I192" s="14">
        <f t="shared" si="5"/>
        <v>1.3694444444444445</v>
      </c>
      <c r="J192" s="166">
        <f>5616/60/60</f>
        <v>1.5599999999999998</v>
      </c>
    </row>
    <row r="193" spans="1:11" x14ac:dyDescent="0.25">
      <c r="A193" s="24">
        <v>191</v>
      </c>
      <c r="B193" s="46">
        <v>0</v>
      </c>
      <c r="C193" s="11" t="s">
        <v>677</v>
      </c>
      <c r="D193" s="12" t="s">
        <v>678</v>
      </c>
      <c r="E193" s="11">
        <v>27849</v>
      </c>
      <c r="F193" s="173">
        <v>15.6</v>
      </c>
      <c r="G193" s="13" t="s">
        <v>469</v>
      </c>
      <c r="H193" s="11">
        <v>5920</v>
      </c>
      <c r="I193" s="14">
        <f t="shared" si="5"/>
        <v>1.6444444444444446</v>
      </c>
      <c r="J193" s="166">
        <f>6550/60/60</f>
        <v>1.8194444444444444</v>
      </c>
    </row>
    <row r="194" spans="1:11" x14ac:dyDescent="0.25">
      <c r="A194" s="18">
        <v>192</v>
      </c>
      <c r="B194" s="19">
        <v>0.25</v>
      </c>
      <c r="C194" s="20" t="s">
        <v>679</v>
      </c>
      <c r="D194" s="21"/>
      <c r="E194" s="20"/>
      <c r="F194" s="174"/>
      <c r="G194" s="87"/>
      <c r="H194" s="20"/>
      <c r="I194" s="22"/>
      <c r="J194" s="167"/>
    </row>
    <row r="195" spans="1:11" x14ac:dyDescent="0.25">
      <c r="A195" s="125">
        <v>193</v>
      </c>
      <c r="B195" s="106">
        <v>0.5</v>
      </c>
      <c r="C195" s="56" t="s">
        <v>681</v>
      </c>
      <c r="D195" s="12" t="s">
        <v>682</v>
      </c>
      <c r="E195" s="11">
        <v>25686</v>
      </c>
      <c r="F195" s="173">
        <v>21.8</v>
      </c>
      <c r="G195" s="13" t="s">
        <v>228</v>
      </c>
      <c r="H195" s="11">
        <v>4768</v>
      </c>
      <c r="I195" s="14">
        <f t="shared" ref="I195:I196" si="6">H195/60/60</f>
        <v>1.3244444444444445</v>
      </c>
      <c r="J195" s="166">
        <f>5478/60/60</f>
        <v>1.5216666666666667</v>
      </c>
    </row>
    <row r="196" spans="1:11" x14ac:dyDescent="0.25">
      <c r="A196" s="125">
        <v>194</v>
      </c>
      <c r="B196" s="106">
        <v>0.75</v>
      </c>
      <c r="C196" s="56" t="s">
        <v>684</v>
      </c>
      <c r="D196" s="149" t="s">
        <v>685</v>
      </c>
      <c r="E196" s="56">
        <v>27626</v>
      </c>
      <c r="F196" s="178">
        <v>16.100000000000001</v>
      </c>
      <c r="G196" s="56">
        <v>5</v>
      </c>
      <c r="H196" s="56">
        <v>5362</v>
      </c>
      <c r="I196" s="14">
        <f t="shared" si="6"/>
        <v>1.4894444444444443</v>
      </c>
      <c r="J196" s="169">
        <f>6186/60/60</f>
        <v>1.7183333333333333</v>
      </c>
    </row>
    <row r="197" spans="1:11" x14ac:dyDescent="0.25">
      <c r="A197" s="125">
        <v>195</v>
      </c>
      <c r="B197" s="106">
        <v>0</v>
      </c>
      <c r="C197" s="149" t="s">
        <v>686</v>
      </c>
      <c r="D197" s="149" t="s">
        <v>687</v>
      </c>
      <c r="E197" s="56">
        <v>24882</v>
      </c>
      <c r="F197" s="178">
        <v>24.7</v>
      </c>
      <c r="G197" s="56">
        <v>4.7</v>
      </c>
      <c r="H197" s="56">
        <v>5302</v>
      </c>
      <c r="I197" s="56">
        <v>1.47</v>
      </c>
      <c r="J197" s="169">
        <v>1.65</v>
      </c>
    </row>
    <row r="198" spans="1:11" x14ac:dyDescent="0.25">
      <c r="A198" s="154">
        <v>196</v>
      </c>
      <c r="B198" s="155">
        <v>0.25</v>
      </c>
      <c r="C198" s="156" t="s">
        <v>688</v>
      </c>
      <c r="D198" s="156"/>
      <c r="E198" s="157"/>
      <c r="F198" s="179"/>
      <c r="G198" s="157"/>
      <c r="H198" s="157"/>
      <c r="I198" s="157"/>
      <c r="J198" s="170"/>
    </row>
    <row r="199" spans="1:11" ht="15.75" thickBot="1" x14ac:dyDescent="0.3">
      <c r="A199" s="126">
        <v>197</v>
      </c>
      <c r="B199" s="109">
        <v>0.5</v>
      </c>
      <c r="C199" s="150" t="s">
        <v>690</v>
      </c>
      <c r="D199" s="150" t="s">
        <v>691</v>
      </c>
      <c r="E199" s="127">
        <v>27022</v>
      </c>
      <c r="F199" s="180">
        <v>17.5</v>
      </c>
      <c r="G199" s="127">
        <v>4.9000000000000004</v>
      </c>
      <c r="H199" s="127">
        <v>5552</v>
      </c>
      <c r="I199" s="30">
        <f t="shared" ref="I199:I205" si="7">H199/60/60</f>
        <v>1.5422222222222222</v>
      </c>
      <c r="J199" s="171">
        <f>6748/60/60</f>
        <v>1.8744444444444446</v>
      </c>
    </row>
    <row r="200" spans="1:11" x14ac:dyDescent="0.25">
      <c r="A200" s="125">
        <v>198</v>
      </c>
      <c r="B200" s="106">
        <v>0.75</v>
      </c>
      <c r="C200" s="149" t="s">
        <v>693</v>
      </c>
      <c r="D200" s="149" t="s">
        <v>694</v>
      </c>
      <c r="E200" s="56">
        <v>27431</v>
      </c>
      <c r="F200" s="56">
        <v>16.600000000000001</v>
      </c>
      <c r="G200" s="56">
        <v>4.2</v>
      </c>
      <c r="H200" s="56">
        <v>6564</v>
      </c>
      <c r="I200" s="151">
        <f t="shared" si="7"/>
        <v>1.8233333333333335</v>
      </c>
      <c r="J200" s="151">
        <f>7152/60/60</f>
        <v>1.9866666666666668</v>
      </c>
    </row>
    <row r="201" spans="1:11" x14ac:dyDescent="0.25">
      <c r="A201" s="125">
        <v>199</v>
      </c>
      <c r="B201" s="106">
        <v>0</v>
      </c>
      <c r="C201" s="149" t="s">
        <v>695</v>
      </c>
      <c r="D201" s="149" t="s">
        <v>696</v>
      </c>
      <c r="E201" s="56">
        <v>26547</v>
      </c>
      <c r="F201" s="56">
        <v>19</v>
      </c>
      <c r="G201" s="56">
        <v>5</v>
      </c>
      <c r="H201" s="56">
        <v>5286</v>
      </c>
      <c r="I201" s="151">
        <f t="shared" si="7"/>
        <v>1.4683333333333333</v>
      </c>
      <c r="J201" s="151">
        <f>5852/60/60</f>
        <v>1.6255555555555554</v>
      </c>
    </row>
    <row r="202" spans="1:11" x14ac:dyDescent="0.25">
      <c r="A202" s="154">
        <v>200</v>
      </c>
      <c r="B202" s="155">
        <v>0.25</v>
      </c>
      <c r="C202" s="156" t="s">
        <v>698</v>
      </c>
      <c r="D202" s="156"/>
      <c r="E202" s="157"/>
      <c r="F202" s="157"/>
      <c r="G202" s="157"/>
      <c r="H202" s="157"/>
      <c r="I202" s="158"/>
      <c r="J202" s="158">
        <f>5852/60/60</f>
        <v>1.6255555555555554</v>
      </c>
    </row>
    <row r="203" spans="1:11" x14ac:dyDescent="0.25">
      <c r="A203" s="125">
        <v>201</v>
      </c>
      <c r="B203" s="106">
        <v>0.5</v>
      </c>
      <c r="C203" s="149" t="s">
        <v>700</v>
      </c>
      <c r="D203" s="149" t="s">
        <v>701</v>
      </c>
      <c r="E203" s="56">
        <v>26289</v>
      </c>
      <c r="F203" s="56">
        <v>19.8</v>
      </c>
      <c r="G203" s="56">
        <v>5.4</v>
      </c>
      <c r="H203" s="56">
        <v>4880</v>
      </c>
      <c r="I203" s="151">
        <f t="shared" si="7"/>
        <v>1.3555555555555554</v>
      </c>
      <c r="J203" s="151">
        <f>5544/60/60</f>
        <v>1.54</v>
      </c>
    </row>
    <row r="204" spans="1:11" x14ac:dyDescent="0.25">
      <c r="A204" s="125">
        <v>202</v>
      </c>
      <c r="B204" s="106">
        <v>0.75</v>
      </c>
      <c r="C204" s="149" t="s">
        <v>702</v>
      </c>
      <c r="D204" s="149" t="s">
        <v>703</v>
      </c>
      <c r="E204" s="56">
        <v>25365</v>
      </c>
      <c r="F204" s="56">
        <v>23.1</v>
      </c>
      <c r="G204" s="56">
        <v>5</v>
      </c>
      <c r="H204" s="56">
        <v>5064</v>
      </c>
      <c r="I204" s="151">
        <f t="shared" si="7"/>
        <v>1.4066666666666667</v>
      </c>
      <c r="J204" s="151">
        <f>5698/60/60</f>
        <v>1.5827777777777778</v>
      </c>
    </row>
    <row r="205" spans="1:11" x14ac:dyDescent="0.25">
      <c r="A205" s="125">
        <v>203</v>
      </c>
      <c r="B205" s="106">
        <v>0</v>
      </c>
      <c r="C205" s="149" t="s">
        <v>704</v>
      </c>
      <c r="D205" s="149" t="s">
        <v>705</v>
      </c>
      <c r="E205" s="56">
        <v>24525</v>
      </c>
      <c r="F205" s="56">
        <v>26.2</v>
      </c>
      <c r="G205" s="56">
        <v>4.4000000000000004</v>
      </c>
      <c r="H205" s="56">
        <v>5552</v>
      </c>
      <c r="I205" s="151">
        <f t="shared" si="7"/>
        <v>1.5422222222222222</v>
      </c>
      <c r="J205" s="151">
        <f>6544/60/60</f>
        <v>1.8177777777777777</v>
      </c>
    </row>
    <row r="206" spans="1:11" x14ac:dyDescent="0.25">
      <c r="A206" s="183"/>
      <c r="B206" s="184"/>
      <c r="C206" s="185"/>
      <c r="D206" s="185"/>
      <c r="E206" s="183"/>
      <c r="F206" s="186"/>
      <c r="G206" s="183"/>
      <c r="H206" s="183"/>
      <c r="I206" s="89"/>
      <c r="J206" s="187"/>
    </row>
    <row r="208" spans="1:11" x14ac:dyDescent="0.25">
      <c r="A208" s="34" t="s">
        <v>74</v>
      </c>
      <c r="B208" s="35"/>
      <c r="C208" s="34"/>
      <c r="D208" s="78"/>
      <c r="E208" s="37">
        <f>AVERAGE(E1:E207)</f>
        <v>25322.882978723403</v>
      </c>
      <c r="F208" s="39">
        <f>AVERAGE(F1:F207)</f>
        <v>29.057659574468104</v>
      </c>
      <c r="G208" s="78"/>
      <c r="H208" s="34"/>
      <c r="I208" s="38">
        <f>AVERAGE(I1:I207)</f>
        <v>1.4401105293775456</v>
      </c>
      <c r="J208" s="38">
        <f>AVERAGE(J1:J207)</f>
        <v>1.6535403050108941</v>
      </c>
      <c r="K208" s="38"/>
    </row>
    <row r="209" spans="1:11" x14ac:dyDescent="0.25">
      <c r="A209" s="34" t="s">
        <v>75</v>
      </c>
      <c r="B209" s="35"/>
      <c r="C209" s="34"/>
      <c r="D209" s="78"/>
      <c r="E209" s="34">
        <f>MAX(E1:E208)</f>
        <v>29108</v>
      </c>
      <c r="F209" s="39">
        <f>MAX(F1:F208)</f>
        <v>314.7</v>
      </c>
      <c r="G209" s="78"/>
      <c r="H209" s="34"/>
      <c r="I209" s="38">
        <f>MAX(I1:I208)</f>
        <v>2.7844444444444445</v>
      </c>
      <c r="J209" s="38">
        <f>MAX(J1:J208)</f>
        <v>2.9788888888888887</v>
      </c>
      <c r="K209" s="38"/>
    </row>
    <row r="210" spans="1:11" x14ac:dyDescent="0.25">
      <c r="A210" s="34" t="s">
        <v>76</v>
      </c>
      <c r="B210" s="35"/>
      <c r="C210" s="34"/>
      <c r="D210" s="78"/>
      <c r="E210" s="34">
        <f>MIN(E1:E209)</f>
        <v>9420</v>
      </c>
      <c r="F210" s="39">
        <f>MIN(F1:F209)</f>
        <v>13</v>
      </c>
      <c r="G210" s="78"/>
      <c r="H210" s="34"/>
      <c r="I210" s="38">
        <f>MIN(I1:I209)</f>
        <v>0.18277777777777779</v>
      </c>
      <c r="J210" s="38">
        <f>MIN(J1:J209)</f>
        <v>0.18277777777777779</v>
      </c>
      <c r="K210" s="38"/>
    </row>
  </sheetData>
  <pageMargins left="0.25" right="0.25" top="0.25" bottom="0.2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C37" sqref="C37"/>
    </sheetView>
  </sheetViews>
  <sheetFormatPr defaultRowHeight="15" x14ac:dyDescent="0.25"/>
  <cols>
    <col min="1" max="1" width="8.5703125" customWidth="1"/>
    <col min="2" max="2" width="9.140625" style="85"/>
    <col min="3" max="3" width="15.140625" style="52" bestFit="1" customWidth="1"/>
    <col min="4" max="4" width="17.7109375" style="52" customWidth="1"/>
    <col min="5" max="5" width="7.7109375" style="52" customWidth="1"/>
    <col min="6" max="6" width="9.140625" style="52"/>
    <col min="7" max="7" width="24.7109375" customWidth="1"/>
    <col min="9" max="9" width="10.28515625" customWidth="1"/>
  </cols>
  <sheetData>
    <row r="1" spans="1:9" x14ac:dyDescent="0.25">
      <c r="A1" t="s">
        <v>160</v>
      </c>
    </row>
    <row r="2" spans="1:9" x14ac:dyDescent="0.25">
      <c r="A2" t="s">
        <v>161</v>
      </c>
    </row>
    <row r="3" spans="1:9" x14ac:dyDescent="0.25">
      <c r="A3" t="s">
        <v>197</v>
      </c>
    </row>
    <row r="4" spans="1:9" x14ac:dyDescent="0.25">
      <c r="A4" t="s">
        <v>198</v>
      </c>
    </row>
    <row r="5" spans="1:9" x14ac:dyDescent="0.25">
      <c r="A5" t="s">
        <v>162</v>
      </c>
    </row>
    <row r="6" spans="1:9" x14ac:dyDescent="0.25">
      <c r="A6" t="s">
        <v>171</v>
      </c>
    </row>
    <row r="7" spans="1:9" ht="15.75" thickBot="1" x14ac:dyDescent="0.3"/>
    <row r="8" spans="1:9" ht="15.75" thickBot="1" x14ac:dyDescent="0.3">
      <c r="A8" s="68" t="s">
        <v>0</v>
      </c>
      <c r="B8" s="64" t="s">
        <v>10</v>
      </c>
      <c r="C8" s="69" t="s">
        <v>293</v>
      </c>
      <c r="D8" s="69" t="s">
        <v>292</v>
      </c>
      <c r="E8" s="63" t="s">
        <v>2</v>
      </c>
      <c r="F8" s="63" t="s">
        <v>3</v>
      </c>
      <c r="G8" s="63" t="s">
        <v>12</v>
      </c>
      <c r="H8" s="70" t="s">
        <v>251</v>
      </c>
      <c r="I8" s="71" t="s">
        <v>252</v>
      </c>
    </row>
    <row r="9" spans="1:9" x14ac:dyDescent="0.25">
      <c r="A9" s="58">
        <v>44</v>
      </c>
      <c r="B9" s="65">
        <v>0.75</v>
      </c>
      <c r="C9" s="72" t="s">
        <v>182</v>
      </c>
      <c r="D9" s="72" t="s">
        <v>183</v>
      </c>
      <c r="E9" s="59">
        <v>26025</v>
      </c>
      <c r="F9" s="59">
        <v>21.1</v>
      </c>
      <c r="G9" s="60" t="s">
        <v>200</v>
      </c>
      <c r="H9" s="61" t="s">
        <v>256</v>
      </c>
      <c r="I9" s="62" t="s">
        <v>253</v>
      </c>
    </row>
    <row r="10" spans="1:9" x14ac:dyDescent="0.25">
      <c r="A10" s="9">
        <v>45</v>
      </c>
      <c r="B10" s="66">
        <v>0.875</v>
      </c>
      <c r="C10" s="73" t="s">
        <v>184</v>
      </c>
      <c r="D10" s="73" t="s">
        <v>180</v>
      </c>
      <c r="E10" s="54">
        <v>28021</v>
      </c>
      <c r="F10" s="54">
        <v>15.4</v>
      </c>
      <c r="G10" s="40" t="s">
        <v>200</v>
      </c>
      <c r="H10" s="56" t="s">
        <v>258</v>
      </c>
      <c r="I10" s="57" t="s">
        <v>257</v>
      </c>
    </row>
    <row r="11" spans="1:9" x14ac:dyDescent="0.25">
      <c r="A11" s="9">
        <v>46</v>
      </c>
      <c r="B11" s="66">
        <v>0</v>
      </c>
      <c r="C11" s="73" t="s">
        <v>185</v>
      </c>
      <c r="D11" s="73" t="s">
        <v>181</v>
      </c>
      <c r="E11" s="54">
        <v>24403</v>
      </c>
      <c r="F11" s="54">
        <v>27.1</v>
      </c>
      <c r="G11" s="40" t="s">
        <v>200</v>
      </c>
      <c r="H11" s="56" t="s">
        <v>259</v>
      </c>
      <c r="I11" s="57" t="s">
        <v>260</v>
      </c>
    </row>
    <row r="12" spans="1:9" x14ac:dyDescent="0.25">
      <c r="A12" s="9">
        <v>47</v>
      </c>
      <c r="B12" s="66">
        <v>0.125</v>
      </c>
      <c r="C12" s="73" t="s">
        <v>187</v>
      </c>
      <c r="D12" s="73" t="s">
        <v>186</v>
      </c>
      <c r="E12" s="54">
        <v>26672</v>
      </c>
      <c r="F12" s="54">
        <v>19</v>
      </c>
      <c r="G12" s="40" t="s">
        <v>189</v>
      </c>
      <c r="H12" s="56" t="s">
        <v>261</v>
      </c>
      <c r="I12" s="57" t="s">
        <v>262</v>
      </c>
    </row>
    <row r="13" spans="1:9" x14ac:dyDescent="0.25">
      <c r="A13" s="24">
        <v>48</v>
      </c>
      <c r="B13" s="67">
        <v>0.25</v>
      </c>
      <c r="C13" s="74" t="s">
        <v>158</v>
      </c>
      <c r="D13" s="74" t="s">
        <v>188</v>
      </c>
      <c r="E13" s="53">
        <v>28289</v>
      </c>
      <c r="F13" s="53">
        <v>14.7</v>
      </c>
      <c r="G13" s="40" t="s">
        <v>189</v>
      </c>
      <c r="H13" s="56" t="s">
        <v>263</v>
      </c>
      <c r="I13" s="57" t="s">
        <v>264</v>
      </c>
    </row>
    <row r="14" spans="1:9" x14ac:dyDescent="0.25">
      <c r="A14" s="24">
        <v>49</v>
      </c>
      <c r="B14" s="67">
        <v>0.375</v>
      </c>
      <c r="C14" s="74" t="s">
        <v>165</v>
      </c>
      <c r="D14" s="74" t="s">
        <v>190</v>
      </c>
      <c r="E14" s="53">
        <v>26783</v>
      </c>
      <c r="F14" s="53">
        <v>18.7</v>
      </c>
      <c r="G14" s="40" t="s">
        <v>189</v>
      </c>
      <c r="H14" s="56" t="s">
        <v>265</v>
      </c>
      <c r="I14" s="57" t="s">
        <v>266</v>
      </c>
    </row>
    <row r="15" spans="1:9" x14ac:dyDescent="0.25">
      <c r="A15" s="24">
        <v>50</v>
      </c>
      <c r="B15" s="67">
        <v>0.5</v>
      </c>
      <c r="C15" s="74" t="s">
        <v>164</v>
      </c>
      <c r="D15" s="74" t="s">
        <v>170</v>
      </c>
      <c r="E15" s="53">
        <v>25502</v>
      </c>
      <c r="F15" s="53">
        <v>22.7</v>
      </c>
      <c r="G15" s="40" t="s">
        <v>189</v>
      </c>
      <c r="H15" s="56" t="s">
        <v>267</v>
      </c>
      <c r="I15" s="57" t="s">
        <v>268</v>
      </c>
    </row>
    <row r="16" spans="1:9" x14ac:dyDescent="0.25">
      <c r="A16" s="24">
        <v>54</v>
      </c>
      <c r="B16" s="67">
        <v>0.125</v>
      </c>
      <c r="C16" s="74" t="s">
        <v>199</v>
      </c>
      <c r="D16" s="74" t="s">
        <v>196</v>
      </c>
      <c r="E16" s="53">
        <v>26115</v>
      </c>
      <c r="F16" s="53">
        <v>20.6</v>
      </c>
      <c r="G16" s="40" t="s">
        <v>200</v>
      </c>
      <c r="H16" s="56" t="s">
        <v>269</v>
      </c>
      <c r="I16" s="57" t="s">
        <v>270</v>
      </c>
    </row>
    <row r="17" spans="1:9" x14ac:dyDescent="0.25">
      <c r="A17" s="24">
        <v>55</v>
      </c>
      <c r="B17" s="67">
        <v>0.25</v>
      </c>
      <c r="C17" s="74" t="s">
        <v>210</v>
      </c>
      <c r="D17" s="74" t="s">
        <v>204</v>
      </c>
      <c r="E17" s="53">
        <v>24047</v>
      </c>
      <c r="F17" s="53">
        <v>28.6</v>
      </c>
      <c r="G17" s="40" t="s">
        <v>200</v>
      </c>
      <c r="H17" s="56" t="s">
        <v>271</v>
      </c>
      <c r="I17" s="57" t="s">
        <v>272</v>
      </c>
    </row>
    <row r="18" spans="1:9" x14ac:dyDescent="0.25">
      <c r="A18" s="24">
        <v>56</v>
      </c>
      <c r="B18" s="67">
        <v>0.375</v>
      </c>
      <c r="C18" s="74" t="s">
        <v>211</v>
      </c>
      <c r="D18" s="74" t="s">
        <v>205</v>
      </c>
      <c r="E18" s="53">
        <v>26865</v>
      </c>
      <c r="F18" s="53">
        <v>18.5</v>
      </c>
      <c r="G18" s="40" t="s">
        <v>200</v>
      </c>
      <c r="H18" s="56" t="s">
        <v>273</v>
      </c>
      <c r="I18" s="57" t="s">
        <v>274</v>
      </c>
    </row>
    <row r="19" spans="1:9" x14ac:dyDescent="0.25">
      <c r="A19" s="24">
        <v>57</v>
      </c>
      <c r="B19" s="67">
        <v>0.5</v>
      </c>
      <c r="C19" s="74" t="s">
        <v>208</v>
      </c>
      <c r="D19" s="74" t="s">
        <v>209</v>
      </c>
      <c r="E19" s="53">
        <v>25501</v>
      </c>
      <c r="F19" s="53">
        <v>22.7</v>
      </c>
      <c r="G19" s="40" t="s">
        <v>200</v>
      </c>
      <c r="H19" s="56" t="s">
        <v>275</v>
      </c>
      <c r="I19" s="57" t="s">
        <v>276</v>
      </c>
    </row>
    <row r="20" spans="1:9" x14ac:dyDescent="0.25">
      <c r="A20" s="24">
        <v>58</v>
      </c>
      <c r="B20" s="67">
        <v>0.625</v>
      </c>
      <c r="C20" s="74" t="s">
        <v>214</v>
      </c>
      <c r="D20" s="74" t="s">
        <v>215</v>
      </c>
      <c r="E20" s="53">
        <v>23847</v>
      </c>
      <c r="F20" s="53">
        <v>29.4</v>
      </c>
      <c r="G20" s="40" t="s">
        <v>200</v>
      </c>
      <c r="H20" s="56" t="s">
        <v>271</v>
      </c>
      <c r="I20" s="57" t="s">
        <v>277</v>
      </c>
    </row>
    <row r="21" spans="1:9" x14ac:dyDescent="0.25">
      <c r="A21" s="24">
        <v>59</v>
      </c>
      <c r="B21" s="67">
        <v>0.75</v>
      </c>
      <c r="C21" s="74" t="s">
        <v>216</v>
      </c>
      <c r="D21" s="74" t="s">
        <v>221</v>
      </c>
      <c r="E21" s="53">
        <v>24896</v>
      </c>
      <c r="F21" s="53">
        <v>25.1</v>
      </c>
      <c r="G21" s="40" t="s">
        <v>200</v>
      </c>
      <c r="H21" s="56" t="s">
        <v>278</v>
      </c>
      <c r="I21" s="57" t="s">
        <v>277</v>
      </c>
    </row>
    <row r="22" spans="1:9" x14ac:dyDescent="0.25">
      <c r="A22" s="24">
        <v>60</v>
      </c>
      <c r="B22" s="67">
        <v>0.875</v>
      </c>
      <c r="C22" s="74" t="s">
        <v>224</v>
      </c>
      <c r="D22" s="73" t="s">
        <v>227</v>
      </c>
      <c r="E22" s="54">
        <v>25963</v>
      </c>
      <c r="F22" s="54">
        <v>21.2</v>
      </c>
      <c r="G22" s="40" t="s">
        <v>226</v>
      </c>
      <c r="H22" s="56" t="s">
        <v>269</v>
      </c>
      <c r="I22" s="57" t="s">
        <v>279</v>
      </c>
    </row>
    <row r="23" spans="1:9" x14ac:dyDescent="0.25">
      <c r="A23" s="24">
        <v>63</v>
      </c>
      <c r="B23" s="67">
        <v>0.125</v>
      </c>
      <c r="C23" s="74" t="s">
        <v>230</v>
      </c>
      <c r="D23" s="74" t="s">
        <v>231</v>
      </c>
      <c r="E23" s="53">
        <v>23964</v>
      </c>
      <c r="F23" s="53">
        <v>28.9</v>
      </c>
      <c r="G23" s="40" t="s">
        <v>200</v>
      </c>
      <c r="H23" s="56" t="s">
        <v>296</v>
      </c>
      <c r="I23" s="57" t="s">
        <v>291</v>
      </c>
    </row>
    <row r="24" spans="1:9" x14ac:dyDescent="0.25">
      <c r="A24" s="24">
        <v>64</v>
      </c>
      <c r="B24" s="67">
        <v>0.25</v>
      </c>
      <c r="C24" s="74" t="s">
        <v>234</v>
      </c>
      <c r="D24" s="74" t="s">
        <v>236</v>
      </c>
      <c r="E24" s="53">
        <v>26238</v>
      </c>
      <c r="F24" s="53">
        <v>20.399999999999999</v>
      </c>
      <c r="G24" s="40" t="s">
        <v>200</v>
      </c>
      <c r="H24" s="56" t="s">
        <v>295</v>
      </c>
      <c r="I24" s="57" t="s">
        <v>291</v>
      </c>
    </row>
    <row r="25" spans="1:9" x14ac:dyDescent="0.25">
      <c r="A25" s="24">
        <v>65</v>
      </c>
      <c r="B25" s="67">
        <v>0.375</v>
      </c>
      <c r="C25" s="74" t="s">
        <v>244</v>
      </c>
      <c r="D25" s="74" t="s">
        <v>238</v>
      </c>
      <c r="E25" s="53">
        <v>26299</v>
      </c>
      <c r="F25" s="53">
        <v>20.2</v>
      </c>
      <c r="G25" s="40" t="s">
        <v>200</v>
      </c>
      <c r="H25" s="56" t="s">
        <v>294</v>
      </c>
      <c r="I25" s="57" t="s">
        <v>297</v>
      </c>
    </row>
    <row r="26" spans="1:9" x14ac:dyDescent="0.25">
      <c r="A26" s="24">
        <v>66</v>
      </c>
      <c r="B26" s="67">
        <v>0.5</v>
      </c>
      <c r="C26" s="74" t="s">
        <v>245</v>
      </c>
      <c r="D26" s="74" t="s">
        <v>240</v>
      </c>
      <c r="E26" s="53">
        <v>25419</v>
      </c>
      <c r="F26" s="53">
        <v>23</v>
      </c>
      <c r="G26" s="40" t="s">
        <v>200</v>
      </c>
      <c r="H26" s="56" t="s">
        <v>254</v>
      </c>
      <c r="I26" s="57" t="s">
        <v>298</v>
      </c>
    </row>
    <row r="27" spans="1:9" x14ac:dyDescent="0.25">
      <c r="A27" s="24">
        <v>67</v>
      </c>
      <c r="B27" s="67">
        <v>0.625</v>
      </c>
      <c r="C27" s="74" t="s">
        <v>246</v>
      </c>
      <c r="D27" s="74" t="s">
        <v>247</v>
      </c>
      <c r="E27" s="53">
        <v>24776</v>
      </c>
      <c r="F27" s="53">
        <v>25.3</v>
      </c>
      <c r="G27" s="40" t="s">
        <v>200</v>
      </c>
      <c r="H27" s="56" t="s">
        <v>280</v>
      </c>
      <c r="I27" s="57" t="s">
        <v>281</v>
      </c>
    </row>
    <row r="28" spans="1:9" x14ac:dyDescent="0.25">
      <c r="A28" s="24">
        <v>68</v>
      </c>
      <c r="B28" s="67">
        <v>0.75</v>
      </c>
      <c r="C28" s="74" t="s">
        <v>250</v>
      </c>
      <c r="D28" s="74" t="s">
        <v>255</v>
      </c>
      <c r="E28" s="53">
        <v>25436</v>
      </c>
      <c r="F28" s="53">
        <v>23</v>
      </c>
      <c r="G28" s="40" t="s">
        <v>200</v>
      </c>
      <c r="H28" s="56" t="s">
        <v>280</v>
      </c>
      <c r="I28" s="57" t="s">
        <v>281</v>
      </c>
    </row>
    <row r="29" spans="1:9" x14ac:dyDescent="0.25">
      <c r="A29" s="24">
        <v>69</v>
      </c>
      <c r="B29" s="67">
        <v>0.875</v>
      </c>
      <c r="C29" s="74" t="s">
        <v>283</v>
      </c>
      <c r="D29" s="74" t="s">
        <v>287</v>
      </c>
      <c r="E29" s="53">
        <v>25907</v>
      </c>
      <c r="F29" s="53">
        <v>21.3</v>
      </c>
      <c r="G29" s="40" t="s">
        <v>200</v>
      </c>
      <c r="H29" s="56" t="s">
        <v>285</v>
      </c>
      <c r="I29" s="57" t="s">
        <v>286</v>
      </c>
    </row>
    <row r="30" spans="1:9" x14ac:dyDescent="0.25">
      <c r="A30" s="24">
        <v>70</v>
      </c>
      <c r="B30" s="67">
        <v>0</v>
      </c>
      <c r="C30" s="74" t="s">
        <v>307</v>
      </c>
      <c r="D30" s="74" t="s">
        <v>306</v>
      </c>
      <c r="E30" s="53">
        <v>25907</v>
      </c>
      <c r="F30" s="53">
        <v>21.3</v>
      </c>
      <c r="G30" s="40" t="s">
        <v>200</v>
      </c>
      <c r="H30" s="56" t="s">
        <v>290</v>
      </c>
      <c r="I30" s="57" t="s">
        <v>291</v>
      </c>
    </row>
    <row r="31" spans="1:9" x14ac:dyDescent="0.25">
      <c r="A31" s="24">
        <v>71</v>
      </c>
      <c r="B31" s="67">
        <v>0.125</v>
      </c>
      <c r="C31" s="47" t="s">
        <v>310</v>
      </c>
      <c r="D31" s="47" t="s">
        <v>310</v>
      </c>
      <c r="E31" s="40">
        <v>24077</v>
      </c>
      <c r="F31" s="40">
        <v>28.4</v>
      </c>
      <c r="G31" s="40" t="s">
        <v>200</v>
      </c>
      <c r="H31" s="7" t="s">
        <v>290</v>
      </c>
      <c r="I31" s="84" t="s">
        <v>309</v>
      </c>
    </row>
    <row r="32" spans="1:9" x14ac:dyDescent="0.25">
      <c r="A32" s="24">
        <v>72</v>
      </c>
      <c r="B32" s="67">
        <v>0.25</v>
      </c>
      <c r="C32" s="47" t="s">
        <v>314</v>
      </c>
      <c r="D32" s="47" t="s">
        <v>314</v>
      </c>
      <c r="E32" s="40">
        <v>19135</v>
      </c>
      <c r="F32" s="40">
        <v>64.7</v>
      </c>
      <c r="G32" s="40" t="s">
        <v>200</v>
      </c>
      <c r="H32" s="7" t="s">
        <v>313</v>
      </c>
      <c r="I32" s="7" t="s">
        <v>291</v>
      </c>
    </row>
    <row r="33" spans="1:9" x14ac:dyDescent="0.25">
      <c r="A33" s="24">
        <v>73</v>
      </c>
      <c r="B33" s="67">
        <v>0.375</v>
      </c>
      <c r="C33" s="47" t="s">
        <v>318</v>
      </c>
      <c r="D33" s="47" t="s">
        <v>318</v>
      </c>
      <c r="E33" s="40">
        <v>24332</v>
      </c>
      <c r="F33" s="40">
        <v>27.4</v>
      </c>
      <c r="G33" s="40" t="s">
        <v>200</v>
      </c>
      <c r="H33" s="7" t="s">
        <v>323</v>
      </c>
      <c r="I33" s="7" t="s">
        <v>324</v>
      </c>
    </row>
    <row r="34" spans="1:9" x14ac:dyDescent="0.25">
      <c r="A34" s="24">
        <v>74</v>
      </c>
      <c r="B34" s="67">
        <v>0.5</v>
      </c>
      <c r="C34" s="47" t="s">
        <v>320</v>
      </c>
      <c r="D34" s="47" t="s">
        <v>320</v>
      </c>
      <c r="E34" s="40">
        <v>19454</v>
      </c>
      <c r="F34" s="40">
        <v>60.8</v>
      </c>
      <c r="G34" s="40" t="s">
        <v>200</v>
      </c>
      <c r="H34" s="7" t="s">
        <v>290</v>
      </c>
      <c r="I34" s="7" t="s">
        <v>321</v>
      </c>
    </row>
    <row r="35" spans="1:9" x14ac:dyDescent="0.25">
      <c r="A35" s="24">
        <v>75</v>
      </c>
      <c r="B35" s="67">
        <v>0.625</v>
      </c>
      <c r="C35" s="47" t="s">
        <v>325</v>
      </c>
      <c r="D35" s="47" t="s">
        <v>325</v>
      </c>
      <c r="E35" s="40">
        <v>26799</v>
      </c>
      <c r="F35" s="40">
        <v>18.5</v>
      </c>
      <c r="G35" s="40" t="s">
        <v>332</v>
      </c>
      <c r="H35" s="7" t="s">
        <v>326</v>
      </c>
      <c r="I35" s="7" t="s">
        <v>327</v>
      </c>
    </row>
    <row r="36" spans="1:9" x14ac:dyDescent="0.25">
      <c r="A36" s="24">
        <v>76</v>
      </c>
      <c r="B36" s="67">
        <v>0.75</v>
      </c>
      <c r="C36" s="74" t="s">
        <v>330</v>
      </c>
      <c r="D36" s="47" t="s">
        <v>334</v>
      </c>
      <c r="E36" s="53">
        <v>24862</v>
      </c>
      <c r="F36" s="53">
        <v>26</v>
      </c>
      <c r="G36" s="40" t="s">
        <v>200</v>
      </c>
      <c r="H36" s="56" t="s">
        <v>331</v>
      </c>
      <c r="I36" s="57" t="s">
        <v>297</v>
      </c>
    </row>
    <row r="37" spans="1:9" x14ac:dyDescent="0.25">
      <c r="A37" s="24">
        <v>91</v>
      </c>
      <c r="B37" s="67">
        <v>0.5</v>
      </c>
      <c r="C37" s="74" t="s">
        <v>382</v>
      </c>
      <c r="D37" s="74" t="s">
        <v>381</v>
      </c>
      <c r="E37" s="53">
        <v>24965</v>
      </c>
      <c r="F37" s="53">
        <v>24.7</v>
      </c>
      <c r="G37" s="40" t="s">
        <v>383</v>
      </c>
      <c r="H37" s="7" t="s">
        <v>379</v>
      </c>
      <c r="I37" s="7" t="s">
        <v>281</v>
      </c>
    </row>
  </sheetData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1-32</vt:lpstr>
      <vt:lpstr>32-64</vt:lpstr>
      <vt:lpstr>65-96</vt:lpstr>
      <vt:lpstr>97-128</vt:lpstr>
      <vt:lpstr>129-160</vt:lpstr>
      <vt:lpstr>161-192</vt:lpstr>
      <vt:lpstr>193-211</vt:lpstr>
      <vt:lpstr>Total</vt:lpstr>
      <vt:lpstr>Manual-Launches</vt:lpstr>
      <vt:lpstr>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2016-03-16T18:02:48Z</dcterms:modified>
</cp:coreProperties>
</file>